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7E08DBCD-CE71-4013-805E-03F2DFA5F2F7}" xr6:coauthVersionLast="37" xr6:coauthVersionMax="47" xr10:uidLastSave="{00000000-0000-0000-0000-000000000000}"/>
  <bookViews>
    <workbookView xWindow="0" yWindow="0" windowWidth="24000" windowHeight="918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677" i="21" l="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N665" i="21"/>
  <c r="L665" i="21"/>
  <c r="O665" i="21" s="1"/>
  <c r="J665" i="21"/>
  <c r="I665" i="21"/>
  <c r="K665" i="21" s="1"/>
  <c r="J663" i="21"/>
  <c r="I663" i="21"/>
  <c r="K663" i="21" s="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O332" i="21"/>
  <c r="P330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M312" i="21" s="1"/>
  <c r="P312" i="21" s="1"/>
  <c r="O313" i="21"/>
  <c r="N311" i="21"/>
  <c r="M311" i="21"/>
  <c r="P311" i="21" s="1"/>
  <c r="L311" i="21"/>
  <c r="O311" i="21" s="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O291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N272" i="21"/>
  <c r="M272" i="21"/>
  <c r="P272" i="21" s="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N251" i="21"/>
  <c r="M251" i="2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P221" i="21"/>
  <c r="O221" i="21"/>
  <c r="N221" i="21"/>
  <c r="M221" i="2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P141" i="21"/>
  <c r="N141" i="21"/>
  <c r="M141" i="21"/>
  <c r="L141" i="21"/>
  <c r="O141" i="21" s="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N119" i="21"/>
  <c r="M119" i="21"/>
  <c r="L119" i="21"/>
  <c r="O119" i="21" s="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M102" i="21" s="1"/>
  <c r="L100" i="21"/>
  <c r="L99" i="21"/>
  <c r="N98" i="21"/>
  <c r="M98" i="21"/>
  <c r="O97" i="21"/>
  <c r="P95" i="21"/>
  <c r="N95" i="21"/>
  <c r="M95" i="2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O69" i="21"/>
  <c r="N67" i="21"/>
  <c r="M67" i="21"/>
  <c r="L67" i="21"/>
  <c r="O67" i="21" s="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M55" i="21" s="1"/>
  <c r="P54" i="21"/>
  <c r="N54" i="21"/>
  <c r="M54" i="21"/>
  <c r="L54" i="21"/>
  <c r="N49" i="21"/>
  <c r="L49" i="21"/>
  <c r="L47" i="21"/>
  <c r="L46" i="21"/>
  <c r="N45" i="21"/>
  <c r="M45" i="21"/>
  <c r="O42" i="21"/>
  <c r="N42" i="21"/>
  <c r="M42" i="21"/>
  <c r="L42" i="21"/>
  <c r="P36" i="21"/>
  <c r="O36" i="21"/>
  <c r="P35" i="21"/>
  <c r="O35" i="21"/>
  <c r="P34" i="21"/>
  <c r="M34" i="21"/>
  <c r="M33" i="21"/>
  <c r="P33" i="21" s="1"/>
  <c r="P32" i="21"/>
  <c r="M32" i="21"/>
  <c r="P31" i="21"/>
  <c r="M31" i="21"/>
  <c r="M29" i="21" s="1"/>
  <c r="M30" i="21"/>
  <c r="P30" i="21" s="1"/>
  <c r="P25" i="21"/>
  <c r="O25" i="21"/>
  <c r="N25" i="21"/>
  <c r="M25" i="21"/>
  <c r="L25" i="21"/>
  <c r="N24" i="21"/>
  <c r="M24" i="21"/>
  <c r="P23" i="21"/>
  <c r="N23" i="21"/>
  <c r="M23" i="21"/>
  <c r="N21" i="21"/>
  <c r="M21" i="21"/>
  <c r="L21" i="21"/>
  <c r="O21" i="21" s="1"/>
  <c r="P19" i="21"/>
  <c r="N19" i="21"/>
  <c r="M19" i="21"/>
  <c r="L19" i="21"/>
  <c r="O19" i="21" s="1"/>
  <c r="P15" i="21"/>
  <c r="O15" i="21"/>
  <c r="N15" i="21"/>
  <c r="M15" i="21"/>
  <c r="L15" i="21"/>
  <c r="P13" i="21"/>
  <c r="M13" i="2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3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N330" i="20"/>
  <c r="M330" i="20"/>
  <c r="P330" i="20" s="1"/>
  <c r="L330" i="20"/>
  <c r="O330" i="20" s="1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P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N291" i="20"/>
  <c r="M291" i="20"/>
  <c r="L291" i="20"/>
  <c r="O291" i="20" s="1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O272" i="20"/>
  <c r="N272" i="20"/>
  <c r="M272" i="20"/>
  <c r="P272" i="20" s="1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O253" i="20"/>
  <c r="N251" i="20"/>
  <c r="M251" i="20"/>
  <c r="P251" i="20" s="1"/>
  <c r="L251" i="20"/>
  <c r="O251" i="20" s="1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P221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N141" i="20"/>
  <c r="M141" i="20"/>
  <c r="P141" i="20" s="1"/>
  <c r="L141" i="20"/>
  <c r="O141" i="20" s="1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O119" i="20" s="1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P95" i="20"/>
  <c r="N95" i="20"/>
  <c r="M95" i="20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M74" i="20" s="1"/>
  <c r="L72" i="20"/>
  <c r="L71" i="20"/>
  <c r="N70" i="20"/>
  <c r="M70" i="20"/>
  <c r="O69" i="20"/>
  <c r="P67" i="20"/>
  <c r="N67" i="20"/>
  <c r="M67" i="20"/>
  <c r="L67" i="20"/>
  <c r="O67" i="20" s="1"/>
  <c r="J65" i="20"/>
  <c r="I65" i="20"/>
  <c r="J64" i="20"/>
  <c r="I64" i="20"/>
  <c r="N61" i="20"/>
  <c r="L61" i="20"/>
  <c r="O61" i="20" s="1"/>
  <c r="L59" i="20"/>
  <c r="L58" i="20"/>
  <c r="N57" i="20"/>
  <c r="M57" i="20"/>
  <c r="M55" i="20" s="1"/>
  <c r="P54" i="20"/>
  <c r="O54" i="20"/>
  <c r="N54" i="20"/>
  <c r="M54" i="20"/>
  <c r="L54" i="20"/>
  <c r="N49" i="20"/>
  <c r="L49" i="20"/>
  <c r="L47" i="20"/>
  <c r="L46" i="20"/>
  <c r="N45" i="20"/>
  <c r="M45" i="20"/>
  <c r="P42" i="20"/>
  <c r="N42" i="20"/>
  <c r="M42" i="20"/>
  <c r="L42" i="20"/>
  <c r="O42" i="20" s="1"/>
  <c r="P36" i="20"/>
  <c r="O36" i="20"/>
  <c r="P35" i="20"/>
  <c r="O35" i="20"/>
  <c r="M34" i="20"/>
  <c r="P34" i="20" s="1"/>
  <c r="P33" i="20"/>
  <c r="M33" i="20"/>
  <c r="P32" i="20"/>
  <c r="M32" i="20"/>
  <c r="M30" i="20" s="1"/>
  <c r="P30" i="20" s="1"/>
  <c r="M31" i="20"/>
  <c r="O25" i="20"/>
  <c r="N25" i="20"/>
  <c r="N15" i="20" s="1"/>
  <c r="M25" i="20"/>
  <c r="P25" i="20" s="1"/>
  <c r="L25" i="20"/>
  <c r="P24" i="20"/>
  <c r="N24" i="20"/>
  <c r="M24" i="20"/>
  <c r="P23" i="20"/>
  <c r="N23" i="20"/>
  <c r="M23" i="20"/>
  <c r="P21" i="20"/>
  <c r="O21" i="20"/>
  <c r="N21" i="20"/>
  <c r="M21" i="20"/>
  <c r="L21" i="20"/>
  <c r="M19" i="20"/>
  <c r="P19" i="20" s="1"/>
  <c r="L19" i="20"/>
  <c r="P15" i="20"/>
  <c r="M15" i="20"/>
  <c r="L15" i="20"/>
  <c r="O15" i="20" s="1"/>
  <c r="P14" i="20"/>
  <c r="M14" i="20"/>
  <c r="M13" i="20"/>
  <c r="P13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O665" i="19" s="1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K650" i="19" s="1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2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P330" i="19"/>
  <c r="N330" i="19"/>
  <c r="M330" i="19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P311" i="19"/>
  <c r="O311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M292" i="19" s="1"/>
  <c r="O293" i="19"/>
  <c r="P291" i="19"/>
  <c r="N291" i="19"/>
  <c r="M291" i="19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O272" i="19"/>
  <c r="N272" i="19"/>
  <c r="M272" i="19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P251" i="19"/>
  <c r="N251" i="19"/>
  <c r="M251" i="19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N221" i="19"/>
  <c r="M221" i="19"/>
  <c r="L221" i="19"/>
  <c r="O221" i="19" s="1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N141" i="19"/>
  <c r="M141" i="19"/>
  <c r="L141" i="19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O119" i="19"/>
  <c r="N119" i="19"/>
  <c r="M119" i="19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M96" i="19" s="1"/>
  <c r="P96" i="19" s="1"/>
  <c r="O97" i="19"/>
  <c r="O95" i="19"/>
  <c r="N95" i="19"/>
  <c r="M95" i="19"/>
  <c r="P95" i="19" s="1"/>
  <c r="L95" i="19"/>
  <c r="J93" i="19"/>
  <c r="I93" i="19"/>
  <c r="K93" i="19" s="1"/>
  <c r="J92" i="19"/>
  <c r="I92" i="19"/>
  <c r="K92" i="19" s="1"/>
  <c r="J90" i="19"/>
  <c r="J89" i="19"/>
  <c r="J88" i="19"/>
  <c r="I88" i="19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P67" i="19"/>
  <c r="O67" i="19"/>
  <c r="N67" i="19"/>
  <c r="M67" i="19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M55" i="19" s="1"/>
  <c r="O54" i="19"/>
  <c r="N54" i="19"/>
  <c r="M54" i="19"/>
  <c r="P54" i="19" s="1"/>
  <c r="L54" i="19"/>
  <c r="N49" i="19"/>
  <c r="L49" i="19"/>
  <c r="L47" i="19"/>
  <c r="L46" i="19"/>
  <c r="N45" i="19"/>
  <c r="M45" i="19"/>
  <c r="P42" i="19"/>
  <c r="O42" i="19"/>
  <c r="N42" i="19"/>
  <c r="M42" i="19"/>
  <c r="L42" i="19"/>
  <c r="P36" i="19"/>
  <c r="O36" i="19"/>
  <c r="P35" i="19"/>
  <c r="O35" i="19"/>
  <c r="P34" i="19"/>
  <c r="M34" i="19"/>
  <c r="P33" i="19"/>
  <c r="M33" i="19"/>
  <c r="M32" i="19"/>
  <c r="M30" i="19" s="1"/>
  <c r="P30" i="19" s="1"/>
  <c r="M31" i="19"/>
  <c r="P25" i="19"/>
  <c r="O25" i="19"/>
  <c r="N25" i="19"/>
  <c r="N15" i="19" s="1"/>
  <c r="M25" i="19"/>
  <c r="L25" i="19"/>
  <c r="P24" i="19"/>
  <c r="N24" i="19"/>
  <c r="M24" i="19"/>
  <c r="P23" i="19"/>
  <c r="N23" i="19"/>
  <c r="M23" i="19"/>
  <c r="O21" i="19"/>
  <c r="N21" i="19"/>
  <c r="M21" i="19"/>
  <c r="M19" i="19" s="1"/>
  <c r="P19" i="19" s="1"/>
  <c r="L21" i="19"/>
  <c r="L19" i="19" s="1"/>
  <c r="N19" i="19"/>
  <c r="O15" i="19"/>
  <c r="M15" i="19"/>
  <c r="P15" i="19" s="1"/>
  <c r="L15" i="19"/>
  <c r="M14" i="19"/>
  <c r="P14" i="19" s="1"/>
  <c r="M13" i="19"/>
  <c r="P13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O330" i="18"/>
  <c r="N330" i="18"/>
  <c r="M330" i="18"/>
  <c r="P330" i="18" s="1"/>
  <c r="L330" i="18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P312" i="18" s="1"/>
  <c r="O313" i="18"/>
  <c r="O311" i="18"/>
  <c r="N311" i="18"/>
  <c r="M311" i="18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P291" i="18"/>
  <c r="N291" i="18"/>
  <c r="M291" i="18"/>
  <c r="L291" i="18"/>
  <c r="O291" i="18" s="1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P272" i="18"/>
  <c r="N272" i="18"/>
  <c r="M272" i="18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M96" i="18" s="1"/>
  <c r="P96" i="18" s="1"/>
  <c r="O97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O54" i="18"/>
  <c r="N54" i="18"/>
  <c r="M54" i="18"/>
  <c r="L54" i="18"/>
  <c r="N49" i="18"/>
  <c r="L49" i="18"/>
  <c r="M49" i="18" s="1"/>
  <c r="L47" i="18"/>
  <c r="L46" i="18"/>
  <c r="N45" i="18"/>
  <c r="M45" i="18"/>
  <c r="P42" i="18"/>
  <c r="N42" i="18"/>
  <c r="M42" i="18"/>
  <c r="L42" i="18"/>
  <c r="O42" i="18" s="1"/>
  <c r="P36" i="18"/>
  <c r="O36" i="18"/>
  <c r="P35" i="18"/>
  <c r="O35" i="18"/>
  <c r="M34" i="18"/>
  <c r="M14" i="18" s="1"/>
  <c r="P14" i="18" s="1"/>
  <c r="P33" i="18"/>
  <c r="M33" i="18"/>
  <c r="M32" i="18"/>
  <c r="M30" i="18" s="1"/>
  <c r="P30" i="18" s="1"/>
  <c r="M31" i="18"/>
  <c r="P31" i="18" s="1"/>
  <c r="O25" i="18"/>
  <c r="N25" i="18"/>
  <c r="N15" i="18" s="1"/>
  <c r="M25" i="18"/>
  <c r="P25" i="18" s="1"/>
  <c r="L25" i="18"/>
  <c r="P24" i="18"/>
  <c r="N24" i="18"/>
  <c r="M24" i="18"/>
  <c r="N23" i="18"/>
  <c r="M23" i="18"/>
  <c r="P23" i="18" s="1"/>
  <c r="P21" i="18"/>
  <c r="O21" i="18"/>
  <c r="N21" i="18"/>
  <c r="N19" i="18" s="1"/>
  <c r="M21" i="18"/>
  <c r="L21" i="18"/>
  <c r="L19" i="18" s="1"/>
  <c r="L15" i="18"/>
  <c r="O15" i="18" s="1"/>
  <c r="P11" i="18"/>
  <c r="M11" i="18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O665" i="17" s="1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4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M337" i="17" s="1"/>
  <c r="L335" i="17"/>
  <c r="L334" i="17"/>
  <c r="N333" i="17"/>
  <c r="M333" i="17"/>
  <c r="O332" i="17"/>
  <c r="P330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O311" i="17"/>
  <c r="N311" i="17"/>
  <c r="M311" i="17"/>
  <c r="P311" i="17" s="1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O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P272" i="17"/>
  <c r="N272" i="17"/>
  <c r="M272" i="17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P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O69" i="17"/>
  <c r="P67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O54" i="17"/>
  <c r="N54" i="17"/>
  <c r="M54" i="17"/>
  <c r="L54" i="17"/>
  <c r="N49" i="17"/>
  <c r="L49" i="17"/>
  <c r="L47" i="17"/>
  <c r="L46" i="17"/>
  <c r="N45" i="17"/>
  <c r="M45" i="17"/>
  <c r="N42" i="17"/>
  <c r="M42" i="17"/>
  <c r="L42" i="17"/>
  <c r="P36" i="17"/>
  <c r="O36" i="17"/>
  <c r="P35" i="17"/>
  <c r="O35" i="17"/>
  <c r="M34" i="17"/>
  <c r="P34" i="17" s="1"/>
  <c r="P33" i="17"/>
  <c r="M33" i="17"/>
  <c r="M32" i="17"/>
  <c r="P31" i="17"/>
  <c r="M31" i="17"/>
  <c r="P29" i="17"/>
  <c r="M29" i="17"/>
  <c r="P25" i="17"/>
  <c r="O25" i="17"/>
  <c r="N25" i="17"/>
  <c r="M25" i="17"/>
  <c r="M19" i="17" s="1"/>
  <c r="L25" i="17"/>
  <c r="P24" i="17"/>
  <c r="N24" i="17"/>
  <c r="M24" i="17"/>
  <c r="M14" i="17" s="1"/>
  <c r="P14" i="17" s="1"/>
  <c r="N23" i="17"/>
  <c r="M23" i="17"/>
  <c r="O21" i="17"/>
  <c r="N21" i="17"/>
  <c r="M21" i="17"/>
  <c r="P21" i="17" s="1"/>
  <c r="L21" i="17"/>
  <c r="L19" i="17" s="1"/>
  <c r="N19" i="17"/>
  <c r="N15" i="17"/>
  <c r="L15" i="17"/>
  <c r="O15" i="17" s="1"/>
  <c r="P11" i="17"/>
  <c r="M11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P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M312" i="16" s="1"/>
  <c r="P312" i="16" s="1"/>
  <c r="O313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O293" i="16"/>
  <c r="P291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N221" i="16"/>
  <c r="M221" i="16"/>
  <c r="P221" i="16" s="1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M140" i="16" s="1"/>
  <c r="O143" i="16"/>
  <c r="P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N119" i="16"/>
  <c r="M119" i="16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P70" i="16" s="1"/>
  <c r="O69" i="16"/>
  <c r="O67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N54" i="16"/>
  <c r="M54" i="16"/>
  <c r="P54" i="16" s="1"/>
  <c r="L54" i="16"/>
  <c r="N49" i="16"/>
  <c r="L49" i="16"/>
  <c r="L47" i="16"/>
  <c r="L46" i="16"/>
  <c r="N45" i="16"/>
  <c r="M45" i="16"/>
  <c r="N42" i="16"/>
  <c r="M42" i="16"/>
  <c r="L42" i="16"/>
  <c r="P36" i="16"/>
  <c r="O36" i="16"/>
  <c r="P35" i="16"/>
  <c r="O35" i="16"/>
  <c r="P34" i="16"/>
  <c r="M34" i="16"/>
  <c r="M33" i="16"/>
  <c r="P33" i="16" s="1"/>
  <c r="M32" i="16"/>
  <c r="P32" i="16" s="1"/>
  <c r="P31" i="16"/>
  <c r="M31" i="16"/>
  <c r="P30" i="16"/>
  <c r="M30" i="16"/>
  <c r="M29" i="16"/>
  <c r="P29" i="16" s="1"/>
  <c r="M28" i="16"/>
  <c r="P28" i="16" s="1"/>
  <c r="P25" i="16"/>
  <c r="N25" i="16"/>
  <c r="M25" i="16"/>
  <c r="L25" i="16"/>
  <c r="O25" i="16" s="1"/>
  <c r="N24" i="16"/>
  <c r="M24" i="16"/>
  <c r="N23" i="16"/>
  <c r="M23" i="16"/>
  <c r="P23" i="16" s="1"/>
  <c r="P21" i="16"/>
  <c r="N21" i="16"/>
  <c r="N19" i="16" s="1"/>
  <c r="M21" i="16"/>
  <c r="L21" i="16"/>
  <c r="M19" i="16"/>
  <c r="P19" i="16" s="1"/>
  <c r="N15" i="16"/>
  <c r="M15" i="16"/>
  <c r="P15" i="16" s="1"/>
  <c r="L15" i="16"/>
  <c r="O15" i="16" s="1"/>
  <c r="P11" i="16"/>
  <c r="M11" i="16"/>
  <c r="M9" i="16"/>
  <c r="P9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2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M331" i="15" s="1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L296" i="15"/>
  <c r="L295" i="15"/>
  <c r="N294" i="15"/>
  <c r="M294" i="15"/>
  <c r="P294" i="15" s="1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P272" i="15"/>
  <c r="N272" i="15"/>
  <c r="M272" i="15"/>
  <c r="L272" i="15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O141" i="15"/>
  <c r="N141" i="15"/>
  <c r="M141" i="15"/>
  <c r="P141" i="15" s="1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P119" i="15"/>
  <c r="O119" i="15"/>
  <c r="N119" i="15"/>
  <c r="M119" i="15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O97" i="15"/>
  <c r="O95" i="15"/>
  <c r="N95" i="15"/>
  <c r="M95" i="15"/>
  <c r="P95" i="15" s="1"/>
  <c r="L95" i="15"/>
  <c r="J93" i="15"/>
  <c r="I93" i="15"/>
  <c r="J92" i="15"/>
  <c r="I92" i="15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O67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P54" i="15"/>
  <c r="N54" i="15"/>
  <c r="M54" i="15"/>
  <c r="L54" i="15"/>
  <c r="N49" i="15"/>
  <c r="L49" i="15"/>
  <c r="M49" i="15" s="1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M34" i="15"/>
  <c r="P34" i="15" s="1"/>
  <c r="P33" i="15"/>
  <c r="M33" i="15"/>
  <c r="M32" i="15"/>
  <c r="M31" i="15"/>
  <c r="P31" i="15" s="1"/>
  <c r="O25" i="15"/>
  <c r="N25" i="15"/>
  <c r="N15" i="15" s="1"/>
  <c r="M25" i="15"/>
  <c r="P25" i="15" s="1"/>
  <c r="L25" i="15"/>
  <c r="P24" i="15"/>
  <c r="N24" i="15"/>
  <c r="M24" i="15"/>
  <c r="N23" i="15"/>
  <c r="M23" i="15"/>
  <c r="O21" i="15"/>
  <c r="N21" i="15"/>
  <c r="M21" i="15"/>
  <c r="P21" i="15" s="1"/>
  <c r="L21" i="15"/>
  <c r="L19" i="15" s="1"/>
  <c r="N19" i="15"/>
  <c r="L15" i="15"/>
  <c r="O15" i="15" s="1"/>
  <c r="M14" i="15"/>
  <c r="P14" i="15" s="1"/>
  <c r="P11" i="15"/>
  <c r="M11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O330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P272" i="14"/>
  <c r="N272" i="14"/>
  <c r="M272" i="14"/>
  <c r="L272" i="14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O251" i="14"/>
  <c r="N251" i="14"/>
  <c r="M251" i="14"/>
  <c r="P251" i="14" s="1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M140" i="14" s="1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M96" i="14" s="1"/>
  <c r="P96" i="14" s="1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O69" i="14"/>
  <c r="N67" i="14"/>
  <c r="M67" i="14"/>
  <c r="P67" i="14" s="1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N54" i="14"/>
  <c r="M54" i="14"/>
  <c r="L54" i="14"/>
  <c r="O54" i="14" s="1"/>
  <c r="N49" i="14"/>
  <c r="L49" i="14"/>
  <c r="L47" i="14"/>
  <c r="L46" i="14"/>
  <c r="N45" i="14"/>
  <c r="M45" i="14"/>
  <c r="P42" i="14"/>
  <c r="N42" i="14"/>
  <c r="M42" i="14"/>
  <c r="L42" i="14"/>
  <c r="P36" i="14"/>
  <c r="O36" i="14"/>
  <c r="P35" i="14"/>
  <c r="O35" i="14"/>
  <c r="M34" i="14"/>
  <c r="P34" i="14" s="1"/>
  <c r="P33" i="14"/>
  <c r="M33" i="14"/>
  <c r="M32" i="14"/>
  <c r="P32" i="14" s="1"/>
  <c r="P31" i="14"/>
  <c r="M31" i="14"/>
  <c r="M30" i="14"/>
  <c r="M28" i="14" s="1"/>
  <c r="P28" i="14" s="1"/>
  <c r="M29" i="14"/>
  <c r="P29" i="14" s="1"/>
  <c r="N25" i="14"/>
  <c r="M25" i="14"/>
  <c r="P25" i="14" s="1"/>
  <c r="L25" i="14"/>
  <c r="L19" i="14" s="1"/>
  <c r="P24" i="14"/>
  <c r="N24" i="14"/>
  <c r="M24" i="14"/>
  <c r="N23" i="14"/>
  <c r="M23" i="14"/>
  <c r="O21" i="14"/>
  <c r="N21" i="14"/>
  <c r="M21" i="14"/>
  <c r="M11" i="14" s="1"/>
  <c r="L21" i="14"/>
  <c r="O19" i="14"/>
  <c r="N19" i="14"/>
  <c r="P15" i="14"/>
  <c r="N15" i="14"/>
  <c r="M15" i="14"/>
  <c r="L15" i="14"/>
  <c r="O15" i="14" s="1"/>
  <c r="M14" i="14"/>
  <c r="P14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2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M331" i="13" s="1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P311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P292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O272" i="13"/>
  <c r="N272" i="13"/>
  <c r="M272" i="13"/>
  <c r="P272" i="13" s="1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P95" i="13"/>
  <c r="N95" i="13"/>
  <c r="M95" i="13"/>
  <c r="L95" i="13"/>
  <c r="O95" i="13" s="1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O67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N54" i="13"/>
  <c r="M54" i="13"/>
  <c r="L54" i="13"/>
  <c r="O54" i="13" s="1"/>
  <c r="N49" i="13"/>
  <c r="L49" i="13"/>
  <c r="L47" i="13"/>
  <c r="L46" i="13"/>
  <c r="N45" i="13"/>
  <c r="M45" i="13"/>
  <c r="N42" i="13"/>
  <c r="M42" i="13"/>
  <c r="P42" i="13" s="1"/>
  <c r="L42" i="13"/>
  <c r="O42" i="13" s="1"/>
  <c r="P36" i="13"/>
  <c r="O36" i="13"/>
  <c r="P35" i="13"/>
  <c r="O35" i="13"/>
  <c r="M34" i="13"/>
  <c r="P34" i="13" s="1"/>
  <c r="M33" i="13"/>
  <c r="P33" i="13" s="1"/>
  <c r="P32" i="13"/>
  <c r="M32" i="13"/>
  <c r="M31" i="13"/>
  <c r="P31" i="13" s="1"/>
  <c r="P30" i="13"/>
  <c r="M30" i="13"/>
  <c r="M29" i="13"/>
  <c r="P29" i="13" s="1"/>
  <c r="N25" i="13"/>
  <c r="N15" i="13" s="1"/>
  <c r="M25" i="13"/>
  <c r="P25" i="13" s="1"/>
  <c r="L25" i="13"/>
  <c r="O25" i="13" s="1"/>
  <c r="N24" i="13"/>
  <c r="M24" i="13"/>
  <c r="P24" i="13" s="1"/>
  <c r="P23" i="13"/>
  <c r="N23" i="13"/>
  <c r="M23" i="13"/>
  <c r="P21" i="13"/>
  <c r="N21" i="13"/>
  <c r="N19" i="13" s="1"/>
  <c r="M21" i="13"/>
  <c r="L21" i="13"/>
  <c r="O21" i="13" s="1"/>
  <c r="M19" i="13"/>
  <c r="P19" i="13" s="1"/>
  <c r="M15" i="13"/>
  <c r="P15" i="13" s="1"/>
  <c r="L15" i="13"/>
  <c r="O15" i="13" s="1"/>
  <c r="P14" i="13"/>
  <c r="M14" i="13"/>
  <c r="M13" i="13"/>
  <c r="P13" i="13" s="1"/>
  <c r="M11" i="13"/>
  <c r="M9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O272" i="12"/>
  <c r="N272" i="12"/>
  <c r="M272" i="12"/>
  <c r="P272" i="12" s="1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N251" i="12"/>
  <c r="M251" i="12"/>
  <c r="P251" i="12" s="1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M140" i="12" s="1"/>
  <c r="O143" i="12"/>
  <c r="N141" i="12"/>
  <c r="M141" i="12"/>
  <c r="P141" i="12" s="1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N119" i="12"/>
  <c r="M119" i="12"/>
  <c r="P119" i="12" s="1"/>
  <c r="L119" i="12"/>
  <c r="O119" i="12" s="1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P98" i="12" s="1"/>
  <c r="O97" i="12"/>
  <c r="N95" i="12"/>
  <c r="M95" i="12"/>
  <c r="L95" i="12"/>
  <c r="O95" i="12" s="1"/>
  <c r="J93" i="12"/>
  <c r="I93" i="12"/>
  <c r="K93" i="12" s="1"/>
  <c r="J92" i="12"/>
  <c r="I92" i="12"/>
  <c r="K92" i="12" s="1"/>
  <c r="J90" i="12"/>
  <c r="J89" i="12"/>
  <c r="J88" i="12"/>
  <c r="I88" i="12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L72" i="12"/>
  <c r="L71" i="12"/>
  <c r="N70" i="12"/>
  <c r="M70" i="12"/>
  <c r="O69" i="12"/>
  <c r="N67" i="12"/>
  <c r="M67" i="12"/>
  <c r="P67" i="12" s="1"/>
  <c r="L67" i="12"/>
  <c r="O67" i="12" s="1"/>
  <c r="J65" i="12"/>
  <c r="I65" i="12"/>
  <c r="J64" i="12"/>
  <c r="I64" i="12"/>
  <c r="N61" i="12"/>
  <c r="L61" i="12"/>
  <c r="O61" i="12" s="1"/>
  <c r="L59" i="12"/>
  <c r="L58" i="12"/>
  <c r="N57" i="12"/>
  <c r="M57" i="12"/>
  <c r="N54" i="12"/>
  <c r="M54" i="12"/>
  <c r="L54" i="12"/>
  <c r="O54" i="12" s="1"/>
  <c r="N49" i="12"/>
  <c r="L49" i="12"/>
  <c r="O49" i="12" s="1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M34" i="12"/>
  <c r="P34" i="12" s="1"/>
  <c r="M33" i="12"/>
  <c r="P33" i="12" s="1"/>
  <c r="P32" i="12"/>
  <c r="M32" i="12"/>
  <c r="M31" i="12"/>
  <c r="M29" i="12" s="1"/>
  <c r="M30" i="12"/>
  <c r="P30" i="12" s="1"/>
  <c r="N25" i="12"/>
  <c r="N19" i="12" s="1"/>
  <c r="M25" i="12"/>
  <c r="P25" i="12" s="1"/>
  <c r="L25" i="12"/>
  <c r="O25" i="12" s="1"/>
  <c r="N24" i="12"/>
  <c r="M24" i="12"/>
  <c r="P24" i="12" s="1"/>
  <c r="P23" i="12"/>
  <c r="N23" i="12"/>
  <c r="M23" i="12"/>
  <c r="N21" i="12"/>
  <c r="M21" i="12"/>
  <c r="L21" i="12"/>
  <c r="O21" i="12" s="1"/>
  <c r="L19" i="12"/>
  <c r="O19" i="12" s="1"/>
  <c r="N15" i="12"/>
  <c r="M15" i="12"/>
  <c r="P15" i="12" s="1"/>
  <c r="L15" i="12"/>
  <c r="O15" i="12" s="1"/>
  <c r="P14" i="12"/>
  <c r="M14" i="12"/>
  <c r="P13" i="12"/>
  <c r="M13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N311" i="11"/>
  <c r="M311" i="11"/>
  <c r="P311" i="11" s="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P272" i="11"/>
  <c r="N272" i="11"/>
  <c r="M272" i="11"/>
  <c r="L272" i="11"/>
  <c r="O272" i="11" s="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P252" i="11" s="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O141" i="11"/>
  <c r="N141" i="11"/>
  <c r="M141" i="11"/>
  <c r="P141" i="11" s="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L100" i="11"/>
  <c r="L99" i="11"/>
  <c r="N98" i="11"/>
  <c r="M98" i="11"/>
  <c r="O97" i="11"/>
  <c r="O95" i="11"/>
  <c r="N95" i="11"/>
  <c r="M95" i="11"/>
  <c r="P95" i="11" s="1"/>
  <c r="L95" i="1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N67" i="11"/>
  <c r="M67" i="1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O54" i="11"/>
  <c r="N54" i="11"/>
  <c r="M54" i="11"/>
  <c r="P54" i="11" s="1"/>
  <c r="L54" i="11"/>
  <c r="N49" i="11"/>
  <c r="L49" i="11"/>
  <c r="L47" i="11"/>
  <c r="L46" i="11"/>
  <c r="N45" i="11"/>
  <c r="M45" i="11"/>
  <c r="M43" i="11" s="1"/>
  <c r="M41" i="11" s="1"/>
  <c r="P42" i="11"/>
  <c r="N42" i="11"/>
  <c r="M42" i="11"/>
  <c r="L42" i="11"/>
  <c r="O42" i="11" s="1"/>
  <c r="P36" i="11"/>
  <c r="O36" i="11"/>
  <c r="P35" i="11"/>
  <c r="O35" i="11"/>
  <c r="P34" i="11"/>
  <c r="M34" i="11"/>
  <c r="P33" i="11"/>
  <c r="M33" i="11"/>
  <c r="M32" i="11"/>
  <c r="M31" i="11"/>
  <c r="P31" i="11" s="1"/>
  <c r="P25" i="11"/>
  <c r="O25" i="11"/>
  <c r="N25" i="11"/>
  <c r="M25" i="11"/>
  <c r="L25" i="11"/>
  <c r="P24" i="11"/>
  <c r="N24" i="11"/>
  <c r="M24" i="11"/>
  <c r="N23" i="11"/>
  <c r="M23" i="11"/>
  <c r="O21" i="11"/>
  <c r="N21" i="11"/>
  <c r="M21" i="11"/>
  <c r="M19" i="11" s="1"/>
  <c r="L21" i="11"/>
  <c r="L19" i="11" s="1"/>
  <c r="N19" i="11"/>
  <c r="P15" i="11"/>
  <c r="N15" i="11"/>
  <c r="M15" i="11"/>
  <c r="M9" i="11" s="1"/>
  <c r="L15" i="11"/>
  <c r="O15" i="11" s="1"/>
  <c r="M14" i="11"/>
  <c r="P14" i="11" s="1"/>
  <c r="P11" i="11"/>
  <c r="M11" i="1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O221" i="10"/>
  <c r="N221" i="10"/>
  <c r="M221" i="10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P95" i="10"/>
  <c r="N95" i="10"/>
  <c r="M95" i="10"/>
  <c r="L95" i="10"/>
  <c r="O95" i="10" s="1"/>
  <c r="J93" i="10"/>
  <c r="I93" i="10"/>
  <c r="J92" i="10"/>
  <c r="I92" i="10"/>
  <c r="J90" i="10"/>
  <c r="J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O69" i="10"/>
  <c r="P67" i="10"/>
  <c r="N67" i="10"/>
  <c r="M67" i="10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O54" i="10"/>
  <c r="N54" i="10"/>
  <c r="M54" i="10"/>
  <c r="L54" i="10"/>
  <c r="N49" i="10"/>
  <c r="L49" i="10"/>
  <c r="L47" i="10"/>
  <c r="L46" i="10"/>
  <c r="N45" i="10"/>
  <c r="M45" i="10"/>
  <c r="P42" i="10"/>
  <c r="N42" i="10"/>
  <c r="M42" i="10"/>
  <c r="L42" i="10"/>
  <c r="O42" i="10" s="1"/>
  <c r="P36" i="10"/>
  <c r="O36" i="10"/>
  <c r="P35" i="10"/>
  <c r="O35" i="10"/>
  <c r="P34" i="10"/>
  <c r="M34" i="10"/>
  <c r="P33" i="10"/>
  <c r="M33" i="10"/>
  <c r="P32" i="10"/>
  <c r="M32" i="10"/>
  <c r="P31" i="10"/>
  <c r="M31" i="10"/>
  <c r="M29" i="10" s="1"/>
  <c r="M30" i="10"/>
  <c r="P30" i="10" s="1"/>
  <c r="P25" i="10"/>
  <c r="O25" i="10"/>
  <c r="N25" i="10"/>
  <c r="M25" i="10"/>
  <c r="L25" i="10"/>
  <c r="P24" i="10"/>
  <c r="N24" i="10"/>
  <c r="M24" i="10"/>
  <c r="P23" i="10"/>
  <c r="N23" i="10"/>
  <c r="M23" i="10"/>
  <c r="O21" i="10"/>
  <c r="N21" i="10"/>
  <c r="M21" i="10"/>
  <c r="L21" i="10"/>
  <c r="L19" i="10"/>
  <c r="O19" i="10" s="1"/>
  <c r="P15" i="10"/>
  <c r="O15" i="10"/>
  <c r="N15" i="10"/>
  <c r="M15" i="10"/>
  <c r="L15" i="10"/>
  <c r="M14" i="10"/>
  <c r="P14" i="10" s="1"/>
  <c r="M13" i="10"/>
  <c r="P13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O332" i="9"/>
  <c r="O330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N291" i="9"/>
  <c r="M291" i="9"/>
  <c r="L291" i="9"/>
  <c r="O291" i="9" s="1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O274" i="9"/>
  <c r="N272" i="9"/>
  <c r="M272" i="9"/>
  <c r="P272" i="9" s="1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P251" i="9" s="1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N141" i="9"/>
  <c r="M141" i="9"/>
  <c r="P141" i="9" s="1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O121" i="9"/>
  <c r="N119" i="9"/>
  <c r="M119" i="9"/>
  <c r="P119" i="9" s="1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N95" i="9"/>
  <c r="M95" i="9"/>
  <c r="P95" i="9" s="1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P67" i="9"/>
  <c r="N67" i="9"/>
  <c r="M67" i="9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O54" i="9"/>
  <c r="N54" i="9"/>
  <c r="M54" i="9"/>
  <c r="L54" i="9"/>
  <c r="N49" i="9"/>
  <c r="L49" i="9"/>
  <c r="O49" i="9" s="1"/>
  <c r="L47" i="9"/>
  <c r="L46" i="9"/>
  <c r="N45" i="9"/>
  <c r="M45" i="9"/>
  <c r="P42" i="9"/>
  <c r="N42" i="9"/>
  <c r="M42" i="9"/>
  <c r="L42" i="9"/>
  <c r="O42" i="9" s="1"/>
  <c r="P36" i="9"/>
  <c r="O36" i="9"/>
  <c r="P35" i="9"/>
  <c r="O35" i="9"/>
  <c r="P34" i="9"/>
  <c r="M34" i="9"/>
  <c r="P33" i="9"/>
  <c r="M33" i="9"/>
  <c r="M32" i="9"/>
  <c r="P32" i="9" s="1"/>
  <c r="P31" i="9"/>
  <c r="M31" i="9"/>
  <c r="M30" i="9"/>
  <c r="P29" i="9"/>
  <c r="M29" i="9"/>
  <c r="P25" i="9"/>
  <c r="O25" i="9"/>
  <c r="N25" i="9"/>
  <c r="N19" i="9" s="1"/>
  <c r="M25" i="9"/>
  <c r="L25" i="9"/>
  <c r="P24" i="9"/>
  <c r="N24" i="9"/>
  <c r="M24" i="9"/>
  <c r="N23" i="9"/>
  <c r="M23" i="9"/>
  <c r="P23" i="9" s="1"/>
  <c r="O21" i="9"/>
  <c r="N21" i="9"/>
  <c r="M21" i="9"/>
  <c r="L21" i="9"/>
  <c r="O19" i="9"/>
  <c r="L19" i="9"/>
  <c r="P15" i="9"/>
  <c r="N15" i="9"/>
  <c r="M15" i="9"/>
  <c r="L15" i="9"/>
  <c r="O15" i="9" s="1"/>
  <c r="M14" i="9"/>
  <c r="P14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2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J578" i="8"/>
  <c r="I578" i="8"/>
  <c r="K578" i="8" s="1"/>
  <c r="J577" i="8"/>
  <c r="I577" i="8"/>
  <c r="K577" i="8" s="1"/>
  <c r="J576" i="8"/>
  <c r="I576" i="8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P251" i="8"/>
  <c r="O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M140" i="8" s="1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O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N54" i="8"/>
  <c r="M54" i="8"/>
  <c r="L54" i="8"/>
  <c r="N49" i="8"/>
  <c r="L49" i="8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M32" i="8"/>
  <c r="M31" i="8"/>
  <c r="P31" i="8" s="1"/>
  <c r="M29" i="8"/>
  <c r="P25" i="8"/>
  <c r="N25" i="8"/>
  <c r="M25" i="8"/>
  <c r="L25" i="8"/>
  <c r="O25" i="8" s="1"/>
  <c r="N24" i="8"/>
  <c r="M24" i="8"/>
  <c r="P24" i="8" s="1"/>
  <c r="N23" i="8"/>
  <c r="M23" i="8"/>
  <c r="P21" i="8"/>
  <c r="O21" i="8"/>
  <c r="N21" i="8"/>
  <c r="M21" i="8"/>
  <c r="L21" i="8"/>
  <c r="P19" i="8"/>
  <c r="N19" i="8"/>
  <c r="M19" i="8"/>
  <c r="N15" i="8"/>
  <c r="M15" i="8"/>
  <c r="P15" i="8" s="1"/>
  <c r="M14" i="8"/>
  <c r="P14" i="8" s="1"/>
  <c r="M11" i="8"/>
  <c r="P11" i="8" s="1"/>
  <c r="M9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4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P330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N272" i="7"/>
  <c r="M272" i="7"/>
  <c r="P272" i="7" s="1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N221" i="7"/>
  <c r="M221" i="7"/>
  <c r="P221" i="7" s="1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P141" i="7" s="1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P95" i="7" s="1"/>
  <c r="L95" i="7"/>
  <c r="O95" i="7" s="1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N67" i="7"/>
  <c r="M67" i="7"/>
  <c r="P67" i="7" s="1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N54" i="7"/>
  <c r="M54" i="7"/>
  <c r="P54" i="7" s="1"/>
  <c r="L54" i="7"/>
  <c r="O54" i="7" s="1"/>
  <c r="N49" i="7"/>
  <c r="L49" i="7"/>
  <c r="M49" i="7" s="1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M34" i="7"/>
  <c r="P34" i="7" s="1"/>
  <c r="P33" i="7"/>
  <c r="M33" i="7"/>
  <c r="M32" i="7"/>
  <c r="P32" i="7" s="1"/>
  <c r="M31" i="7"/>
  <c r="M29" i="7" s="1"/>
  <c r="O25" i="7"/>
  <c r="N25" i="7"/>
  <c r="N15" i="7" s="1"/>
  <c r="M25" i="7"/>
  <c r="P25" i="7" s="1"/>
  <c r="L25" i="7"/>
  <c r="P24" i="7"/>
  <c r="N24" i="7"/>
  <c r="M24" i="7"/>
  <c r="N23" i="7"/>
  <c r="M23" i="7"/>
  <c r="P23" i="7" s="1"/>
  <c r="O21" i="7"/>
  <c r="N21" i="7"/>
  <c r="N19" i="7" s="1"/>
  <c r="M21" i="7"/>
  <c r="P21" i="7" s="1"/>
  <c r="L21" i="7"/>
  <c r="P19" i="7"/>
  <c r="M19" i="7"/>
  <c r="L19" i="7"/>
  <c r="O19" i="7" s="1"/>
  <c r="O15" i="7"/>
  <c r="L15" i="7"/>
  <c r="M14" i="7"/>
  <c r="P14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1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M329" i="6" s="1"/>
  <c r="O332" i="6"/>
  <c r="P330" i="6"/>
  <c r="N330" i="6"/>
  <c r="M330" i="6"/>
  <c r="L330" i="6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O311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M290" i="6" s="1"/>
  <c r="O293" i="6"/>
  <c r="P291" i="6"/>
  <c r="N291" i="6"/>
  <c r="M291" i="6"/>
  <c r="L291" i="6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P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M140" i="6" s="1"/>
  <c r="O143" i="6"/>
  <c r="O141" i="6"/>
  <c r="N141" i="6"/>
  <c r="M141" i="6"/>
  <c r="P141" i="6" s="1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P119" i="6"/>
  <c r="N119" i="6"/>
  <c r="M119" i="6"/>
  <c r="L119" i="6"/>
  <c r="O119" i="6" s="1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O95" i="6"/>
  <c r="N95" i="6"/>
  <c r="M95" i="6"/>
  <c r="P95" i="6" s="1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M68" i="6" s="1"/>
  <c r="O69" i="6"/>
  <c r="P67" i="6"/>
  <c r="N67" i="6"/>
  <c r="M67" i="6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O54" i="6"/>
  <c r="N54" i="6"/>
  <c r="M54" i="6"/>
  <c r="P54" i="6" s="1"/>
  <c r="L54" i="6"/>
  <c r="N49" i="6"/>
  <c r="L49" i="6"/>
  <c r="L47" i="6"/>
  <c r="L46" i="6"/>
  <c r="N45" i="6"/>
  <c r="M45" i="6"/>
  <c r="P42" i="6"/>
  <c r="N42" i="6"/>
  <c r="M42" i="6"/>
  <c r="L42" i="6"/>
  <c r="O42" i="6" s="1"/>
  <c r="P36" i="6"/>
  <c r="O36" i="6"/>
  <c r="P35" i="6"/>
  <c r="O35" i="6"/>
  <c r="M34" i="6"/>
  <c r="P34" i="6" s="1"/>
  <c r="M33" i="6"/>
  <c r="P33" i="6" s="1"/>
  <c r="M32" i="6"/>
  <c r="P32" i="6" s="1"/>
  <c r="P31" i="6"/>
  <c r="M31" i="6"/>
  <c r="P29" i="6"/>
  <c r="M29" i="6"/>
  <c r="O25" i="6"/>
  <c r="N25" i="6"/>
  <c r="M25" i="6"/>
  <c r="P25" i="6" s="1"/>
  <c r="L25" i="6"/>
  <c r="P24" i="6"/>
  <c r="N24" i="6"/>
  <c r="M24" i="6"/>
  <c r="N23" i="6"/>
  <c r="M23" i="6"/>
  <c r="P23" i="6" s="1"/>
  <c r="O21" i="6"/>
  <c r="N21" i="6"/>
  <c r="N19" i="6" s="1"/>
  <c r="M21" i="6"/>
  <c r="P21" i="6" s="1"/>
  <c r="L21" i="6"/>
  <c r="L19" i="6" s="1"/>
  <c r="M19" i="6"/>
  <c r="P19" i="6" s="1"/>
  <c r="N15" i="6"/>
  <c r="M15" i="6"/>
  <c r="P15" i="6" s="1"/>
  <c r="L15" i="6"/>
  <c r="O15" i="6" s="1"/>
  <c r="M14" i="6"/>
  <c r="P14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N311" i="5"/>
  <c r="M311" i="5"/>
  <c r="P311" i="5" s="1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N291" i="5"/>
  <c r="M291" i="5"/>
  <c r="P291" i="5" s="1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P272" i="5"/>
  <c r="N272" i="5"/>
  <c r="M272" i="5"/>
  <c r="L272" i="5"/>
  <c r="O272" i="5" s="1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O251" i="5"/>
  <c r="N251" i="5"/>
  <c r="M251" i="5"/>
  <c r="P251" i="5" s="1"/>
  <c r="L251" i="5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M220" i="5" s="1"/>
  <c r="O223" i="5"/>
  <c r="P221" i="5"/>
  <c r="N221" i="5"/>
  <c r="M221" i="5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O141" i="5"/>
  <c r="N141" i="5"/>
  <c r="M141" i="5"/>
  <c r="P141" i="5" s="1"/>
  <c r="L141" i="5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P119" i="5"/>
  <c r="N119" i="5"/>
  <c r="M119" i="5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O95" i="5"/>
  <c r="N95" i="5"/>
  <c r="M95" i="5"/>
  <c r="P95" i="5" s="1"/>
  <c r="L95" i="5"/>
  <c r="J93" i="5"/>
  <c r="I93" i="5"/>
  <c r="J92" i="5"/>
  <c r="I92" i="5"/>
  <c r="J90" i="5"/>
  <c r="J89" i="5"/>
  <c r="J88" i="5"/>
  <c r="I88" i="5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N67" i="5"/>
  <c r="M67" i="5"/>
  <c r="L67" i="5"/>
  <c r="O67" i="5" s="1"/>
  <c r="J65" i="5"/>
  <c r="I65" i="5"/>
  <c r="J64" i="5"/>
  <c r="I64" i="5"/>
  <c r="N61" i="5"/>
  <c r="L61" i="5"/>
  <c r="O61" i="5" s="1"/>
  <c r="L59" i="5"/>
  <c r="L58" i="5"/>
  <c r="N57" i="5"/>
  <c r="M57" i="5"/>
  <c r="O54" i="5"/>
  <c r="N54" i="5"/>
  <c r="M54" i="5"/>
  <c r="P54" i="5" s="1"/>
  <c r="L54" i="5"/>
  <c r="N49" i="5"/>
  <c r="L49" i="5"/>
  <c r="L47" i="5"/>
  <c r="L46" i="5"/>
  <c r="N45" i="5"/>
  <c r="M45" i="5"/>
  <c r="P42" i="5"/>
  <c r="N42" i="5"/>
  <c r="M42" i="5"/>
  <c r="L42" i="5"/>
  <c r="O42" i="5" s="1"/>
  <c r="P36" i="5"/>
  <c r="O36" i="5"/>
  <c r="P35" i="5"/>
  <c r="O35" i="5"/>
  <c r="M34" i="5"/>
  <c r="P34" i="5" s="1"/>
  <c r="P33" i="5"/>
  <c r="M33" i="5"/>
  <c r="M32" i="5"/>
  <c r="M30" i="5" s="1"/>
  <c r="P30" i="5" s="1"/>
  <c r="M31" i="5"/>
  <c r="M29" i="5" s="1"/>
  <c r="O25" i="5"/>
  <c r="N25" i="5"/>
  <c r="M25" i="5"/>
  <c r="P25" i="5" s="1"/>
  <c r="L25" i="5"/>
  <c r="P24" i="5"/>
  <c r="N24" i="5"/>
  <c r="M24" i="5"/>
  <c r="N23" i="5"/>
  <c r="M23" i="5"/>
  <c r="P23" i="5" s="1"/>
  <c r="O21" i="5"/>
  <c r="N21" i="5"/>
  <c r="M21" i="5"/>
  <c r="P21" i="5" s="1"/>
  <c r="L21" i="5"/>
  <c r="L19" i="5" s="1"/>
  <c r="N19" i="5"/>
  <c r="M19" i="5"/>
  <c r="P19" i="5" s="1"/>
  <c r="P15" i="5"/>
  <c r="N15" i="5"/>
  <c r="M15" i="5"/>
  <c r="L15" i="5"/>
  <c r="O15" i="5" s="1"/>
  <c r="M14" i="5"/>
  <c r="P14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P312" i="4" s="1"/>
  <c r="O313" i="4"/>
  <c r="O311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N272" i="4"/>
  <c r="M272" i="4"/>
  <c r="P272" i="4" s="1"/>
  <c r="L272" i="4"/>
  <c r="O272" i="4" s="1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N251" i="4"/>
  <c r="M251" i="4"/>
  <c r="P251" i="4" s="1"/>
  <c r="L251" i="4"/>
  <c r="O251" i="4" s="1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N221" i="4"/>
  <c r="M221" i="4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N141" i="4"/>
  <c r="M141" i="4"/>
  <c r="P141" i="4" s="1"/>
  <c r="L141" i="4"/>
  <c r="O141" i="4" s="1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N119" i="4"/>
  <c r="M119" i="4"/>
  <c r="P119" i="4" s="1"/>
  <c r="L119" i="4"/>
  <c r="O119" i="4" s="1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P98" i="4" s="1"/>
  <c r="O97" i="4"/>
  <c r="N95" i="4"/>
  <c r="M95" i="4"/>
  <c r="P95" i="4" s="1"/>
  <c r="L95" i="4"/>
  <c r="O95" i="4" s="1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P68" i="4" s="1"/>
  <c r="O69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O54" i="4"/>
  <c r="N54" i="4"/>
  <c r="M54" i="4"/>
  <c r="L54" i="4"/>
  <c r="N49" i="4"/>
  <c r="L49" i="4"/>
  <c r="L47" i="4"/>
  <c r="L46" i="4"/>
  <c r="N45" i="4"/>
  <c r="M45" i="4"/>
  <c r="O42" i="4"/>
  <c r="N42" i="4"/>
  <c r="M42" i="4"/>
  <c r="L42" i="4"/>
  <c r="P36" i="4"/>
  <c r="O36" i="4"/>
  <c r="P35" i="4"/>
  <c r="O35" i="4"/>
  <c r="P34" i="4"/>
  <c r="M34" i="4"/>
  <c r="M33" i="4"/>
  <c r="P32" i="4"/>
  <c r="M32" i="4"/>
  <c r="M30" i="4" s="1"/>
  <c r="P30" i="4" s="1"/>
  <c r="M31" i="4"/>
  <c r="M29" i="4" s="1"/>
  <c r="P25" i="4"/>
  <c r="N25" i="4"/>
  <c r="N15" i="4" s="1"/>
  <c r="M25" i="4"/>
  <c r="L25" i="4"/>
  <c r="O25" i="4" s="1"/>
  <c r="N24" i="4"/>
  <c r="M24" i="4"/>
  <c r="P23" i="4"/>
  <c r="N23" i="4"/>
  <c r="M23" i="4"/>
  <c r="N21" i="4"/>
  <c r="M21" i="4"/>
  <c r="P21" i="4" s="1"/>
  <c r="L21" i="4"/>
  <c r="N19" i="4"/>
  <c r="O15" i="4"/>
  <c r="M15" i="4"/>
  <c r="P15" i="4" s="1"/>
  <c r="L15" i="4"/>
  <c r="J677" i="3"/>
  <c r="J676" i="3"/>
  <c r="J675" i="3"/>
  <c r="J674" i="3"/>
  <c r="J673" i="3"/>
  <c r="J672" i="3"/>
  <c r="N671" i="3"/>
  <c r="L671" i="3"/>
  <c r="O671" i="3" s="1"/>
  <c r="I671" i="3"/>
  <c r="J670" i="3"/>
  <c r="J669" i="3"/>
  <c r="N668" i="3"/>
  <c r="L668" i="3"/>
  <c r="O668" i="3" s="1"/>
  <c r="J668" i="3"/>
  <c r="I668" i="3"/>
  <c r="J667" i="3"/>
  <c r="J666" i="3"/>
  <c r="N665" i="3"/>
  <c r="L665" i="3"/>
  <c r="J665" i="3"/>
  <c r="I665" i="3"/>
  <c r="J663" i="3"/>
  <c r="I663" i="3"/>
  <c r="K663" i="3" s="1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N648" i="3"/>
  <c r="L648" i="3"/>
  <c r="O648" i="3" s="1"/>
  <c r="J648" i="3"/>
  <c r="I648" i="3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2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J591" i="3"/>
  <c r="I591" i="3"/>
  <c r="J590" i="3"/>
  <c r="I590" i="3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J513" i="3"/>
  <c r="I513" i="3"/>
  <c r="K513" i="3" s="1"/>
  <c r="J512" i="3"/>
  <c r="I512" i="3"/>
  <c r="K512" i="3" s="1"/>
  <c r="J511" i="3"/>
  <c r="I511" i="3"/>
  <c r="K511" i="3" s="1"/>
  <c r="J510" i="3"/>
  <c r="I510" i="3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P311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P272" i="3"/>
  <c r="O272" i="3"/>
  <c r="N272" i="3"/>
  <c r="M272" i="3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O141" i="3" s="1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O119" i="3"/>
  <c r="N119" i="3"/>
  <c r="M119" i="3"/>
  <c r="P119" i="3" s="1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P54" i="3"/>
  <c r="N54" i="3"/>
  <c r="M54" i="3"/>
  <c r="L54" i="3"/>
  <c r="O54" i="3" s="1"/>
  <c r="N49" i="3"/>
  <c r="L49" i="3"/>
  <c r="O49" i="3" s="1"/>
  <c r="L47" i="3"/>
  <c r="L46" i="3"/>
  <c r="N45" i="3"/>
  <c r="M45" i="3"/>
  <c r="N42" i="3"/>
  <c r="M42" i="3"/>
  <c r="P42" i="3" s="1"/>
  <c r="L42" i="3"/>
  <c r="O42" i="3" s="1"/>
  <c r="P36" i="3"/>
  <c r="O36" i="3"/>
  <c r="P35" i="3"/>
  <c r="O35" i="3"/>
  <c r="P34" i="3"/>
  <c r="M34" i="3"/>
  <c r="M33" i="3"/>
  <c r="P33" i="3" s="1"/>
  <c r="P32" i="3"/>
  <c r="M32" i="3"/>
  <c r="M30" i="3" s="1"/>
  <c r="P30" i="3" s="1"/>
  <c r="M31" i="3"/>
  <c r="P25" i="3"/>
  <c r="N25" i="3"/>
  <c r="M25" i="3"/>
  <c r="L25" i="3"/>
  <c r="O25" i="3" s="1"/>
  <c r="N24" i="3"/>
  <c r="M24" i="3"/>
  <c r="P24" i="3" s="1"/>
  <c r="P23" i="3"/>
  <c r="N23" i="3"/>
  <c r="M23" i="3"/>
  <c r="P21" i="3"/>
  <c r="N21" i="3"/>
  <c r="M21" i="3"/>
  <c r="L21" i="3"/>
  <c r="O21" i="3" s="1"/>
  <c r="P19" i="3"/>
  <c r="M19" i="3"/>
  <c r="L19" i="3"/>
  <c r="M15" i="3"/>
  <c r="P15" i="3" s="1"/>
  <c r="M13" i="3"/>
  <c r="P13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L649" i="2"/>
  <c r="O649" i="2" s="1"/>
  <c r="J649" i="2"/>
  <c r="I649" i="2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O551" i="2" s="1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J510" i="2"/>
  <c r="I510" i="2"/>
  <c r="K510" i="2" s="1"/>
  <c r="J509" i="2"/>
  <c r="I509" i="2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J486" i="2"/>
  <c r="I486" i="2"/>
  <c r="K486" i="2" s="1"/>
  <c r="J485" i="2"/>
  <c r="I485" i="2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M337" i="2" s="1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M312" i="2" s="1"/>
  <c r="O313" i="2"/>
  <c r="O311" i="2"/>
  <c r="N311" i="2"/>
  <c r="M311" i="2"/>
  <c r="P311" i="2" s="1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O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L124" i="2"/>
  <c r="L123" i="2"/>
  <c r="N122" i="2"/>
  <c r="M122" i="2"/>
  <c r="O121" i="2"/>
  <c r="P119" i="2"/>
  <c r="N119" i="2"/>
  <c r="M119" i="2"/>
  <c r="L119" i="2"/>
  <c r="O119" i="2" s="1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M43" i="2" s="1"/>
  <c r="N42" i="2"/>
  <c r="M42" i="2"/>
  <c r="P42" i="2" s="1"/>
  <c r="L42" i="2"/>
  <c r="P36" i="2"/>
  <c r="O36" i="2"/>
  <c r="P35" i="2"/>
  <c r="O35" i="2"/>
  <c r="M34" i="2"/>
  <c r="M14" i="2" s="1"/>
  <c r="P14" i="2" s="1"/>
  <c r="M33" i="2"/>
  <c r="P33" i="2" s="1"/>
  <c r="P32" i="2"/>
  <c r="M32" i="2"/>
  <c r="P31" i="2"/>
  <c r="M31" i="2"/>
  <c r="M30" i="2"/>
  <c r="P30" i="2" s="1"/>
  <c r="P29" i="2"/>
  <c r="M29" i="2"/>
  <c r="M28" i="2"/>
  <c r="P28" i="2" s="1"/>
  <c r="O25" i="2"/>
  <c r="N25" i="2"/>
  <c r="N19" i="2" s="1"/>
  <c r="M25" i="2"/>
  <c r="P25" i="2" s="1"/>
  <c r="L25" i="2"/>
  <c r="N24" i="2"/>
  <c r="M24" i="2"/>
  <c r="P24" i="2" s="1"/>
  <c r="P23" i="2"/>
  <c r="N23" i="2"/>
  <c r="M23" i="2"/>
  <c r="N21" i="2"/>
  <c r="M21" i="2"/>
  <c r="P21" i="2" s="1"/>
  <c r="L21" i="2"/>
  <c r="O21" i="2" s="1"/>
  <c r="O19" i="2"/>
  <c r="M19" i="2"/>
  <c r="L19" i="2"/>
  <c r="N15" i="2"/>
  <c r="L15" i="2"/>
  <c r="O15" i="2" s="1"/>
  <c r="P13" i="2"/>
  <c r="M13" i="2"/>
  <c r="O639" i="1"/>
  <c r="O637" i="1"/>
  <c r="I548" i="1"/>
  <c r="K548" i="1" s="1"/>
  <c r="I365" i="1"/>
  <c r="K365" i="1" s="1"/>
  <c r="L336" i="1"/>
  <c r="O332" i="1"/>
  <c r="N332" i="1"/>
  <c r="N21" i="1" s="1"/>
  <c r="M332" i="1"/>
  <c r="L332" i="1"/>
  <c r="P330" i="1"/>
  <c r="O330" i="1"/>
  <c r="N330" i="1"/>
  <c r="M330" i="1"/>
  <c r="L330" i="1"/>
  <c r="L317" i="1"/>
  <c r="N313" i="1"/>
  <c r="M313" i="1"/>
  <c r="L313" i="1"/>
  <c r="O313" i="1" s="1"/>
  <c r="P311" i="1"/>
  <c r="N311" i="1"/>
  <c r="M311" i="1"/>
  <c r="L311" i="1"/>
  <c r="O311" i="1" s="1"/>
  <c r="J307" i="1"/>
  <c r="L297" i="1"/>
  <c r="N293" i="1"/>
  <c r="M293" i="1"/>
  <c r="L293" i="1"/>
  <c r="O293" i="1" s="1"/>
  <c r="P291" i="1"/>
  <c r="O291" i="1"/>
  <c r="N291" i="1"/>
  <c r="M291" i="1"/>
  <c r="L291" i="1"/>
  <c r="L278" i="1"/>
  <c r="L25" i="1" s="1"/>
  <c r="O274" i="1"/>
  <c r="N274" i="1"/>
  <c r="M274" i="1"/>
  <c r="L274" i="1"/>
  <c r="O272" i="1"/>
  <c r="N272" i="1"/>
  <c r="M272" i="1"/>
  <c r="P272" i="1" s="1"/>
  <c r="L272" i="1"/>
  <c r="L257" i="1"/>
  <c r="N253" i="1"/>
  <c r="M253" i="1"/>
  <c r="L253" i="1"/>
  <c r="O253" i="1" s="1"/>
  <c r="P251" i="1"/>
  <c r="N251" i="1"/>
  <c r="M251" i="1"/>
  <c r="L251" i="1"/>
  <c r="O251" i="1" s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L147" i="1"/>
  <c r="N143" i="1"/>
  <c r="M143" i="1"/>
  <c r="L143" i="1"/>
  <c r="O143" i="1" s="1"/>
  <c r="P141" i="1"/>
  <c r="O141" i="1"/>
  <c r="N141" i="1"/>
  <c r="M141" i="1"/>
  <c r="L141" i="1"/>
  <c r="L125" i="1"/>
  <c r="O121" i="1"/>
  <c r="N121" i="1"/>
  <c r="M121" i="1"/>
  <c r="L121" i="1"/>
  <c r="P119" i="1"/>
  <c r="N119" i="1"/>
  <c r="M119" i="1"/>
  <c r="L119" i="1"/>
  <c r="O119" i="1" s="1"/>
  <c r="L101" i="1"/>
  <c r="N97" i="1"/>
  <c r="M97" i="1"/>
  <c r="M21" i="1" s="1"/>
  <c r="L97" i="1"/>
  <c r="O97" i="1" s="1"/>
  <c r="P95" i="1"/>
  <c r="O95" i="1"/>
  <c r="N95" i="1"/>
  <c r="M95" i="1"/>
  <c r="L95" i="1"/>
  <c r="L73" i="1"/>
  <c r="N69" i="1"/>
  <c r="M69" i="1"/>
  <c r="L69" i="1"/>
  <c r="O69" i="1" s="1"/>
  <c r="P67" i="1"/>
  <c r="O67" i="1"/>
  <c r="N67" i="1"/>
  <c r="M67" i="1"/>
  <c r="L67" i="1"/>
  <c r="L60" i="1"/>
  <c r="L56" i="1"/>
  <c r="L54" i="1" s="1"/>
  <c r="P54" i="1"/>
  <c r="N54" i="1"/>
  <c r="M54" i="1"/>
  <c r="L48" i="1"/>
  <c r="L44" i="1"/>
  <c r="P42" i="1"/>
  <c r="N42" i="1"/>
  <c r="M42" i="1"/>
  <c r="L42" i="1"/>
  <c r="O42" i="1" s="1"/>
  <c r="P36" i="1"/>
  <c r="O36" i="1"/>
  <c r="P35" i="1"/>
  <c r="O35" i="1"/>
  <c r="M34" i="1"/>
  <c r="P34" i="1" s="1"/>
  <c r="P33" i="1"/>
  <c r="M33" i="1"/>
  <c r="M32" i="1"/>
  <c r="M30" i="1" s="1"/>
  <c r="P31" i="1"/>
  <c r="M31" i="1"/>
  <c r="P29" i="1"/>
  <c r="M29" i="1"/>
  <c r="N25" i="1"/>
  <c r="N15" i="1" s="1"/>
  <c r="M25" i="1"/>
  <c r="P25" i="1" s="1"/>
  <c r="P24" i="1"/>
  <c r="N24" i="1"/>
  <c r="M24" i="1"/>
  <c r="N23" i="1"/>
  <c r="M23" i="1"/>
  <c r="P23" i="1" s="1"/>
  <c r="M14" i="1"/>
  <c r="P14" i="1" s="1"/>
  <c r="K420" i="2" l="1"/>
  <c r="K481" i="2"/>
  <c r="K589" i="13"/>
  <c r="K595" i="13"/>
  <c r="K630" i="13"/>
  <c r="K235" i="14"/>
  <c r="O385" i="14"/>
  <c r="K249" i="2"/>
  <c r="K117" i="2"/>
  <c r="L70" i="20"/>
  <c r="O70" i="20" s="1"/>
  <c r="O566" i="2"/>
  <c r="K595" i="12"/>
  <c r="K377" i="9"/>
  <c r="O404" i="9"/>
  <c r="K418" i="9"/>
  <c r="K421" i="9"/>
  <c r="K450" i="9"/>
  <c r="N292" i="18"/>
  <c r="N290" i="18" s="1"/>
  <c r="K450" i="20"/>
  <c r="K464" i="20"/>
  <c r="J651" i="17"/>
  <c r="K651" i="17" s="1"/>
  <c r="K631" i="20"/>
  <c r="K595" i="17"/>
  <c r="K630" i="15"/>
  <c r="O401" i="16"/>
  <c r="K418" i="16"/>
  <c r="K424" i="16"/>
  <c r="K164" i="17"/>
  <c r="L224" i="17"/>
  <c r="L222" i="17" s="1"/>
  <c r="L220" i="17" s="1"/>
  <c r="L57" i="9"/>
  <c r="O57" i="9" s="1"/>
  <c r="P314" i="2"/>
  <c r="N142" i="15"/>
  <c r="P142" i="15" s="1"/>
  <c r="K551" i="13"/>
  <c r="K428" i="5"/>
  <c r="O457" i="5"/>
  <c r="K368" i="8"/>
  <c r="K398" i="8"/>
  <c r="O439" i="8"/>
  <c r="K398" i="10"/>
  <c r="K381" i="11"/>
  <c r="K416" i="11"/>
  <c r="K423" i="13"/>
  <c r="J452" i="1"/>
  <c r="N331" i="13"/>
  <c r="P331" i="13" s="1"/>
  <c r="L57" i="6"/>
  <c r="O57" i="6" s="1"/>
  <c r="L98" i="6"/>
  <c r="L96" i="6" s="1"/>
  <c r="L94" i="6" s="1"/>
  <c r="K324" i="6"/>
  <c r="O385" i="6"/>
  <c r="O406" i="6"/>
  <c r="K423" i="6"/>
  <c r="K449" i="6"/>
  <c r="K591" i="13"/>
  <c r="K632" i="13"/>
  <c r="K455" i="14"/>
  <c r="N68" i="5"/>
  <c r="N66" i="5" s="1"/>
  <c r="K249" i="21"/>
  <c r="N312" i="5"/>
  <c r="N310" i="5" s="1"/>
  <c r="J671" i="11"/>
  <c r="N120" i="15"/>
  <c r="N118" i="15" s="1"/>
  <c r="L98" i="15"/>
  <c r="L96" i="15" s="1"/>
  <c r="K176" i="17"/>
  <c r="K199" i="17"/>
  <c r="P224" i="17"/>
  <c r="K429" i="21"/>
  <c r="K82" i="3"/>
  <c r="K93" i="3"/>
  <c r="O437" i="4"/>
  <c r="K573" i="4"/>
  <c r="K370" i="5"/>
  <c r="K420" i="5"/>
  <c r="K432" i="5"/>
  <c r="K481" i="5"/>
  <c r="K465" i="10"/>
  <c r="K420" i="11"/>
  <c r="K432" i="11"/>
  <c r="K449" i="11"/>
  <c r="O380" i="13"/>
  <c r="K464" i="13"/>
  <c r="K497" i="13"/>
  <c r="K396" i="17"/>
  <c r="M57" i="1"/>
  <c r="M55" i="1" s="1"/>
  <c r="K613" i="15"/>
  <c r="K625" i="16"/>
  <c r="K481" i="17"/>
  <c r="K597" i="17"/>
  <c r="N312" i="4"/>
  <c r="N310" i="4" s="1"/>
  <c r="P70" i="10"/>
  <c r="K87" i="10"/>
  <c r="J671" i="15"/>
  <c r="K402" i="17"/>
  <c r="K499" i="4"/>
  <c r="O535" i="5"/>
  <c r="K633" i="5"/>
  <c r="O648" i="5"/>
  <c r="K199" i="7"/>
  <c r="L224" i="7"/>
  <c r="O224" i="7" s="1"/>
  <c r="O406" i="8"/>
  <c r="O537" i="8"/>
  <c r="O564" i="11"/>
  <c r="K419" i="13"/>
  <c r="O537" i="15"/>
  <c r="O599" i="15"/>
  <c r="K629" i="15"/>
  <c r="K481" i="16"/>
  <c r="N254" i="1"/>
  <c r="N587" i="1"/>
  <c r="K112" i="5"/>
  <c r="J115" i="1"/>
  <c r="I189" i="1"/>
  <c r="N222" i="2"/>
  <c r="N220" i="2" s="1"/>
  <c r="J241" i="1"/>
  <c r="I264" i="1"/>
  <c r="K345" i="2"/>
  <c r="K615" i="7"/>
  <c r="J77" i="1"/>
  <c r="K580" i="17"/>
  <c r="K449" i="21"/>
  <c r="K564" i="21"/>
  <c r="O580" i="21"/>
  <c r="K591" i="21"/>
  <c r="K597" i="21"/>
  <c r="K424" i="2"/>
  <c r="O459" i="2"/>
  <c r="K473" i="2"/>
  <c r="K497" i="2"/>
  <c r="L314" i="6"/>
  <c r="O314" i="6" s="1"/>
  <c r="K381" i="6"/>
  <c r="K402" i="6"/>
  <c r="K416" i="6"/>
  <c r="K419" i="6"/>
  <c r="K431" i="6"/>
  <c r="O533" i="6"/>
  <c r="K649" i="6"/>
  <c r="O553" i="7"/>
  <c r="K65" i="12"/>
  <c r="P70" i="12"/>
  <c r="K431" i="12"/>
  <c r="K435" i="6"/>
  <c r="K474" i="6"/>
  <c r="K270" i="13"/>
  <c r="K285" i="13"/>
  <c r="L144" i="14"/>
  <c r="O144" i="14" s="1"/>
  <c r="J592" i="1"/>
  <c r="L70" i="19"/>
  <c r="O70" i="19" s="1"/>
  <c r="K597" i="19"/>
  <c r="K189" i="20"/>
  <c r="O347" i="20"/>
  <c r="N351" i="1"/>
  <c r="I575" i="1"/>
  <c r="K575" i="1" s="1"/>
  <c r="K634" i="3"/>
  <c r="O354" i="6"/>
  <c r="O568" i="7"/>
  <c r="K573" i="7"/>
  <c r="K158" i="18"/>
  <c r="L224" i="18"/>
  <c r="L222" i="18" s="1"/>
  <c r="L102" i="1"/>
  <c r="M144" i="1"/>
  <c r="J164" i="1"/>
  <c r="L255" i="1"/>
  <c r="I270" i="1"/>
  <c r="J284" i="1"/>
  <c r="N461" i="1"/>
  <c r="N565" i="1"/>
  <c r="K328" i="20"/>
  <c r="P333" i="20"/>
  <c r="K597" i="6"/>
  <c r="K65" i="8"/>
  <c r="J615" i="1"/>
  <c r="K110" i="11"/>
  <c r="N96" i="15"/>
  <c r="N94" i="15" s="1"/>
  <c r="K597" i="16"/>
  <c r="L275" i="17"/>
  <c r="O275" i="17" s="1"/>
  <c r="P74" i="20"/>
  <c r="K133" i="20"/>
  <c r="L228" i="1"/>
  <c r="O228" i="1" s="1"/>
  <c r="N70" i="1"/>
  <c r="J81" i="1"/>
  <c r="J92" i="1"/>
  <c r="J135" i="1"/>
  <c r="J161" i="1"/>
  <c r="J215" i="1"/>
  <c r="I235" i="1"/>
  <c r="L256" i="1"/>
  <c r="J263" i="1"/>
  <c r="J270" i="1"/>
  <c r="M275" i="1"/>
  <c r="J323" i="1"/>
  <c r="J341" i="1"/>
  <c r="I372" i="1"/>
  <c r="I396" i="1"/>
  <c r="K416" i="2"/>
  <c r="I419" i="1"/>
  <c r="I428" i="1"/>
  <c r="N440" i="1"/>
  <c r="L457" i="1"/>
  <c r="N460" i="1"/>
  <c r="K465" i="2"/>
  <c r="I525" i="1"/>
  <c r="I528" i="1"/>
  <c r="K580" i="2"/>
  <c r="L582" i="1"/>
  <c r="I593" i="1"/>
  <c r="O601" i="2"/>
  <c r="K631" i="2"/>
  <c r="I634" i="1"/>
  <c r="L352" i="1"/>
  <c r="J373" i="1"/>
  <c r="N385" i="1"/>
  <c r="J432" i="1"/>
  <c r="J526" i="1"/>
  <c r="P224" i="4"/>
  <c r="J343" i="1"/>
  <c r="O380" i="4"/>
  <c r="O404" i="4"/>
  <c r="J414" i="1"/>
  <c r="L436" i="1"/>
  <c r="O436" i="1" s="1"/>
  <c r="K450" i="4"/>
  <c r="K497" i="4"/>
  <c r="N102" i="1"/>
  <c r="K450" i="5"/>
  <c r="K377" i="6"/>
  <c r="K427" i="6"/>
  <c r="O459" i="6"/>
  <c r="L72" i="1"/>
  <c r="J88" i="1"/>
  <c r="J109" i="1"/>
  <c r="J169" i="1"/>
  <c r="J187" i="1"/>
  <c r="J209" i="1"/>
  <c r="J264" i="1"/>
  <c r="K402" i="8"/>
  <c r="N228" i="1"/>
  <c r="J234" i="1"/>
  <c r="K481" i="9"/>
  <c r="O354" i="12"/>
  <c r="P49" i="15"/>
  <c r="K112" i="15"/>
  <c r="O582" i="18"/>
  <c r="K422" i="19"/>
  <c r="O601" i="19"/>
  <c r="K628" i="19"/>
  <c r="O651" i="20"/>
  <c r="L333" i="21"/>
  <c r="O333" i="21" s="1"/>
  <c r="O352" i="21"/>
  <c r="J129" i="1"/>
  <c r="M122" i="1"/>
  <c r="J377" i="1"/>
  <c r="N74" i="1"/>
  <c r="J365" i="1"/>
  <c r="J381" i="1"/>
  <c r="J400" i="1"/>
  <c r="J416" i="1"/>
  <c r="J425" i="1"/>
  <c r="N441" i="1"/>
  <c r="J448" i="1"/>
  <c r="J451" i="1"/>
  <c r="N457" i="1"/>
  <c r="J480" i="1"/>
  <c r="J486" i="1"/>
  <c r="J495" i="1"/>
  <c r="J510" i="1"/>
  <c r="J513" i="1"/>
  <c r="J516" i="1"/>
  <c r="J522" i="1"/>
  <c r="N536" i="1"/>
  <c r="J551" i="1"/>
  <c r="J82" i="1"/>
  <c r="M98" i="1"/>
  <c r="J172" i="1"/>
  <c r="N298" i="1"/>
  <c r="J326" i="1"/>
  <c r="K309" i="6"/>
  <c r="O555" i="6"/>
  <c r="N564" i="1"/>
  <c r="N572" i="1"/>
  <c r="N581" i="1"/>
  <c r="L122" i="7"/>
  <c r="O122" i="7" s="1"/>
  <c r="K65" i="9"/>
  <c r="J545" i="1"/>
  <c r="I65" i="1"/>
  <c r="J130" i="1"/>
  <c r="J154" i="1"/>
  <c r="J182" i="1"/>
  <c r="J204" i="1"/>
  <c r="N294" i="1"/>
  <c r="K465" i="18"/>
  <c r="K634" i="19"/>
  <c r="J283" i="1"/>
  <c r="N603" i="1"/>
  <c r="I200" i="1"/>
  <c r="J243" i="1"/>
  <c r="J470" i="1"/>
  <c r="J80" i="1"/>
  <c r="N45" i="1"/>
  <c r="L296" i="1"/>
  <c r="J369" i="1"/>
  <c r="L61" i="1"/>
  <c r="O61" i="1" s="1"/>
  <c r="I92" i="1"/>
  <c r="I490" i="1"/>
  <c r="K490" i="1" s="1"/>
  <c r="N43" i="4"/>
  <c r="N41" i="4" s="1"/>
  <c r="J76" i="1"/>
  <c r="K64" i="5"/>
  <c r="I426" i="1"/>
  <c r="N273" i="13"/>
  <c r="N271" i="13" s="1"/>
  <c r="N318" i="1"/>
  <c r="N355" i="1"/>
  <c r="J380" i="1"/>
  <c r="J449" i="1"/>
  <c r="N96" i="17"/>
  <c r="N94" i="17" s="1"/>
  <c r="N142" i="17"/>
  <c r="P142" i="17" s="1"/>
  <c r="K473" i="17"/>
  <c r="K265" i="21"/>
  <c r="K631" i="21"/>
  <c r="N61" i="1"/>
  <c r="N144" i="1"/>
  <c r="J249" i="1"/>
  <c r="J364" i="1"/>
  <c r="J394" i="1"/>
  <c r="J242" i="1"/>
  <c r="J106" i="1"/>
  <c r="J111" i="1"/>
  <c r="M333" i="1"/>
  <c r="L351" i="1"/>
  <c r="O351" i="1" s="1"/>
  <c r="K164" i="4"/>
  <c r="N273" i="4"/>
  <c r="P273" i="4" s="1"/>
  <c r="K341" i="13"/>
  <c r="K431" i="17"/>
  <c r="N68" i="20"/>
  <c r="N66" i="20" s="1"/>
  <c r="K229" i="20"/>
  <c r="O380" i="20"/>
  <c r="O401" i="20"/>
  <c r="K424" i="20"/>
  <c r="K219" i="21"/>
  <c r="L46" i="1"/>
  <c r="L276" i="1"/>
  <c r="J619" i="1"/>
  <c r="L226" i="1"/>
  <c r="L347" i="1"/>
  <c r="J415" i="1"/>
  <c r="J494" i="1"/>
  <c r="I199" i="1"/>
  <c r="J235" i="1"/>
  <c r="I324" i="1"/>
  <c r="I349" i="1"/>
  <c r="I117" i="1"/>
  <c r="I285" i="1"/>
  <c r="J86" i="1"/>
  <c r="I113" i="1"/>
  <c r="N122" i="1"/>
  <c r="J269" i="1"/>
  <c r="K396" i="3"/>
  <c r="K593" i="3"/>
  <c r="N31" i="5"/>
  <c r="N29" i="5" s="1"/>
  <c r="N598" i="1"/>
  <c r="J649" i="1"/>
  <c r="O49" i="6"/>
  <c r="L254" i="7"/>
  <c r="O254" i="7" s="1"/>
  <c r="J325" i="1"/>
  <c r="I427" i="1"/>
  <c r="K173" i="9"/>
  <c r="K349" i="9"/>
  <c r="K343" i="14"/>
  <c r="K634" i="17"/>
  <c r="L98" i="18"/>
  <c r="O98" i="18" s="1"/>
  <c r="L45" i="21"/>
  <c r="L43" i="21" s="1"/>
  <c r="J64" i="1"/>
  <c r="N383" i="1"/>
  <c r="N275" i="1"/>
  <c r="N384" i="1"/>
  <c r="L122" i="3"/>
  <c r="O122" i="3" s="1"/>
  <c r="L254" i="3"/>
  <c r="L252" i="3" s="1"/>
  <c r="O252" i="3" s="1"/>
  <c r="K397" i="3"/>
  <c r="K466" i="3"/>
  <c r="J502" i="1"/>
  <c r="J342" i="1"/>
  <c r="N34" i="7"/>
  <c r="N14" i="7" s="1"/>
  <c r="K420" i="7"/>
  <c r="I529" i="1"/>
  <c r="N558" i="1"/>
  <c r="K564" i="7"/>
  <c r="K249" i="8"/>
  <c r="K267" i="8"/>
  <c r="K341" i="8"/>
  <c r="K426" i="9"/>
  <c r="K429" i="9"/>
  <c r="O455" i="9"/>
  <c r="K149" i="10"/>
  <c r="K376" i="10"/>
  <c r="K450" i="12"/>
  <c r="K591" i="12"/>
  <c r="K597" i="12"/>
  <c r="K648" i="12"/>
  <c r="P45" i="13"/>
  <c r="K593" i="13"/>
  <c r="K628" i="13"/>
  <c r="K631" i="13"/>
  <c r="K634" i="13"/>
  <c r="K377" i="14"/>
  <c r="K450" i="14"/>
  <c r="K473" i="14"/>
  <c r="K186" i="16"/>
  <c r="K375" i="16"/>
  <c r="K381" i="16"/>
  <c r="K416" i="16"/>
  <c r="K419" i="16"/>
  <c r="O457" i="16"/>
  <c r="O584" i="16"/>
  <c r="O597" i="16"/>
  <c r="K614" i="16"/>
  <c r="K423" i="17"/>
  <c r="K418" i="19"/>
  <c r="O439" i="19"/>
  <c r="K482" i="19"/>
  <c r="K533" i="21"/>
  <c r="O555" i="21"/>
  <c r="K595" i="21"/>
  <c r="K551" i="2"/>
  <c r="I551" i="1"/>
  <c r="K396" i="2"/>
  <c r="N408" i="1"/>
  <c r="J424" i="1"/>
  <c r="N436" i="1"/>
  <c r="J454" i="1"/>
  <c r="N456" i="1"/>
  <c r="N649" i="1"/>
  <c r="J171" i="1"/>
  <c r="J518" i="1"/>
  <c r="I265" i="1"/>
  <c r="L74" i="1"/>
  <c r="I176" i="1"/>
  <c r="I216" i="1"/>
  <c r="J157" i="1"/>
  <c r="J211" i="1"/>
  <c r="J509" i="1"/>
  <c r="K344" i="11"/>
  <c r="I344" i="1"/>
  <c r="K344" i="1" s="1"/>
  <c r="J530" i="1"/>
  <c r="I82" i="1"/>
  <c r="I138" i="1"/>
  <c r="J265" i="1"/>
  <c r="L277" i="1"/>
  <c r="J289" i="1"/>
  <c r="I521" i="1"/>
  <c r="K576" i="8"/>
  <c r="I576" i="1"/>
  <c r="K576" i="1" s="1"/>
  <c r="K579" i="8"/>
  <c r="I579" i="1"/>
  <c r="K579" i="1" s="1"/>
  <c r="J478" i="1"/>
  <c r="O318" i="2"/>
  <c r="L318" i="1"/>
  <c r="O318" i="1" s="1"/>
  <c r="N539" i="1"/>
  <c r="I86" i="1"/>
  <c r="I111" i="1"/>
  <c r="K111" i="1" s="1"/>
  <c r="L258" i="1"/>
  <c r="O258" i="1" s="1"/>
  <c r="I513" i="1"/>
  <c r="K513" i="1" s="1"/>
  <c r="J611" i="1"/>
  <c r="J620" i="1"/>
  <c r="J303" i="1"/>
  <c r="K475" i="7"/>
  <c r="I475" i="1"/>
  <c r="K475" i="1" s="1"/>
  <c r="K484" i="7"/>
  <c r="I484" i="1"/>
  <c r="K484" i="1" s="1"/>
  <c r="K505" i="7"/>
  <c r="I505" i="1"/>
  <c r="K505" i="1" s="1"/>
  <c r="N534" i="1"/>
  <c r="P122" i="19"/>
  <c r="M120" i="19"/>
  <c r="P120" i="19" s="1"/>
  <c r="N541" i="1"/>
  <c r="J667" i="1"/>
  <c r="K113" i="3"/>
  <c r="L316" i="1"/>
  <c r="I370" i="1"/>
  <c r="N442" i="1"/>
  <c r="K465" i="4"/>
  <c r="J577" i="1"/>
  <c r="K375" i="5"/>
  <c r="N31" i="7"/>
  <c r="N29" i="7" s="1"/>
  <c r="K630" i="9"/>
  <c r="K350" i="11"/>
  <c r="K589" i="11"/>
  <c r="K482" i="13"/>
  <c r="K186" i="19"/>
  <c r="J79" i="1"/>
  <c r="J85" i="1"/>
  <c r="N126" i="1"/>
  <c r="N354" i="1"/>
  <c r="N462" i="1"/>
  <c r="I499" i="1"/>
  <c r="I517" i="1"/>
  <c r="J543" i="1"/>
  <c r="N569" i="1"/>
  <c r="J596" i="1"/>
  <c r="J612" i="1"/>
  <c r="J624" i="1"/>
  <c r="J131" i="1"/>
  <c r="J156" i="1"/>
  <c r="I340" i="1"/>
  <c r="K376" i="3"/>
  <c r="K401" i="3"/>
  <c r="J487" i="1"/>
  <c r="J345" i="1"/>
  <c r="I564" i="1"/>
  <c r="J186" i="1"/>
  <c r="N537" i="1"/>
  <c r="P98" i="6"/>
  <c r="J117" i="1"/>
  <c r="K149" i="6"/>
  <c r="J217" i="1"/>
  <c r="L32" i="6"/>
  <c r="L30" i="6" s="1"/>
  <c r="I473" i="1"/>
  <c r="K481" i="6"/>
  <c r="J519" i="1"/>
  <c r="J531" i="1"/>
  <c r="J547" i="1"/>
  <c r="J268" i="1"/>
  <c r="J309" i="1"/>
  <c r="J346" i="1"/>
  <c r="L98" i="9"/>
  <c r="L96" i="9" s="1"/>
  <c r="K340" i="9"/>
  <c r="K108" i="10"/>
  <c r="K92" i="11"/>
  <c r="J285" i="1"/>
  <c r="K431" i="11"/>
  <c r="K158" i="12"/>
  <c r="K328" i="12"/>
  <c r="N55" i="15"/>
  <c r="N53" i="15" s="1"/>
  <c r="L70" i="16"/>
  <c r="O70" i="16" s="1"/>
  <c r="K497" i="16"/>
  <c r="L254" i="19"/>
  <c r="O254" i="19" s="1"/>
  <c r="K613" i="19"/>
  <c r="K630" i="19"/>
  <c r="K173" i="20"/>
  <c r="K200" i="20"/>
  <c r="K372" i="20"/>
  <c r="K375" i="20"/>
  <c r="K402" i="20"/>
  <c r="K158" i="21"/>
  <c r="N96" i="2"/>
  <c r="N94" i="2" s="1"/>
  <c r="K164" i="2"/>
  <c r="J181" i="1"/>
  <c r="I343" i="1"/>
  <c r="J472" i="1"/>
  <c r="J484" i="1"/>
  <c r="K597" i="2"/>
  <c r="K635" i="2"/>
  <c r="I374" i="1"/>
  <c r="N386" i="1"/>
  <c r="J433" i="1"/>
  <c r="I619" i="1"/>
  <c r="I651" i="1"/>
  <c r="J668" i="1"/>
  <c r="O49" i="4"/>
  <c r="N96" i="4"/>
  <c r="N94" i="4" s="1"/>
  <c r="N120" i="4"/>
  <c r="N118" i="4" s="1"/>
  <c r="K81" i="5"/>
  <c r="J367" i="1"/>
  <c r="N120" i="6"/>
  <c r="N118" i="6" s="1"/>
  <c r="K111" i="7"/>
  <c r="O347" i="7"/>
  <c r="M96" i="8"/>
  <c r="P96" i="8" s="1"/>
  <c r="K265" i="8"/>
  <c r="O566" i="9"/>
  <c r="P98" i="10"/>
  <c r="K547" i="10"/>
  <c r="N331" i="11"/>
  <c r="N329" i="11" s="1"/>
  <c r="K345" i="13"/>
  <c r="K466" i="14"/>
  <c r="N252" i="16"/>
  <c r="N250" i="16" s="1"/>
  <c r="N252" i="17"/>
  <c r="N250" i="17" s="1"/>
  <c r="K429" i="17"/>
  <c r="K432" i="17"/>
  <c r="O435" i="17"/>
  <c r="K449" i="17"/>
  <c r="K498" i="19"/>
  <c r="N55" i="20"/>
  <c r="N53" i="20" s="1"/>
  <c r="N312" i="21"/>
  <c r="N310" i="21" s="1"/>
  <c r="N55" i="2"/>
  <c r="N53" i="2" s="1"/>
  <c r="J90" i="1"/>
  <c r="N407" i="1"/>
  <c r="J453" i="1"/>
  <c r="I533" i="1"/>
  <c r="J549" i="1"/>
  <c r="N599" i="1"/>
  <c r="O665" i="2"/>
  <c r="K149" i="3"/>
  <c r="J282" i="1"/>
  <c r="J304" i="1"/>
  <c r="J651" i="3"/>
  <c r="K651" i="3" s="1"/>
  <c r="L335" i="1"/>
  <c r="N349" i="1"/>
  <c r="K235" i="5"/>
  <c r="L254" i="5"/>
  <c r="L252" i="5" s="1"/>
  <c r="N273" i="5"/>
  <c r="N271" i="5" s="1"/>
  <c r="L123" i="1"/>
  <c r="J511" i="1"/>
  <c r="J523" i="1"/>
  <c r="O551" i="6"/>
  <c r="O580" i="6"/>
  <c r="L315" i="1"/>
  <c r="J350" i="1"/>
  <c r="K628" i="7"/>
  <c r="K108" i="9"/>
  <c r="K497" i="9"/>
  <c r="N96" i="10"/>
  <c r="N94" i="10" s="1"/>
  <c r="L537" i="1"/>
  <c r="J505" i="1"/>
  <c r="J544" i="1"/>
  <c r="N331" i="12"/>
  <c r="N329" i="12" s="1"/>
  <c r="O406" i="12"/>
  <c r="K429" i="12"/>
  <c r="J671" i="13"/>
  <c r="K92" i="15"/>
  <c r="N292" i="15"/>
  <c r="N290" i="15" s="1"/>
  <c r="K424" i="15"/>
  <c r="L294" i="16"/>
  <c r="O294" i="16" s="1"/>
  <c r="L57" i="20"/>
  <c r="O57" i="20" s="1"/>
  <c r="L254" i="20"/>
  <c r="L252" i="20" s="1"/>
  <c r="L250" i="20" s="1"/>
  <c r="K376" i="20"/>
  <c r="K380" i="20"/>
  <c r="K397" i="20"/>
  <c r="K420" i="20"/>
  <c r="O648" i="21"/>
  <c r="J107" i="1"/>
  <c r="L122" i="2"/>
  <c r="O122" i="2" s="1"/>
  <c r="J160" i="1"/>
  <c r="K266" i="2"/>
  <c r="K328" i="2"/>
  <c r="N357" i="1"/>
  <c r="J476" i="1"/>
  <c r="J488" i="1"/>
  <c r="K80" i="3"/>
  <c r="J378" i="1"/>
  <c r="K381" i="3"/>
  <c r="K422" i="3"/>
  <c r="I425" i="1"/>
  <c r="L437" i="1"/>
  <c r="O582" i="3"/>
  <c r="I611" i="1"/>
  <c r="I617" i="1"/>
  <c r="K430" i="4"/>
  <c r="K85" i="5"/>
  <c r="I341" i="1"/>
  <c r="J371" i="1"/>
  <c r="K573" i="5"/>
  <c r="K631" i="5"/>
  <c r="J651" i="5"/>
  <c r="N292" i="6"/>
  <c r="N290" i="6" s="1"/>
  <c r="P290" i="6" s="1"/>
  <c r="K396" i="7"/>
  <c r="K270" i="8"/>
  <c r="O349" i="8"/>
  <c r="O665" i="8"/>
  <c r="L45" i="9"/>
  <c r="O45" i="9" s="1"/>
  <c r="O437" i="9"/>
  <c r="K455" i="9"/>
  <c r="K110" i="10"/>
  <c r="K499" i="10"/>
  <c r="K109" i="11"/>
  <c r="K377" i="11"/>
  <c r="P57" i="12"/>
  <c r="K64" i="12"/>
  <c r="M292" i="12"/>
  <c r="P292" i="12" s="1"/>
  <c r="K343" i="13"/>
  <c r="K420" i="13"/>
  <c r="K497" i="14"/>
  <c r="K108" i="15"/>
  <c r="L122" i="15"/>
  <c r="O122" i="15" s="1"/>
  <c r="K215" i="15"/>
  <c r="N273" i="15"/>
  <c r="N271" i="15" s="1"/>
  <c r="L294" i="15"/>
  <c r="O294" i="15" s="1"/>
  <c r="O568" i="16"/>
  <c r="K593" i="16"/>
  <c r="K631" i="16"/>
  <c r="K158" i="17"/>
  <c r="K185" i="17"/>
  <c r="O404" i="17"/>
  <c r="K427" i="17"/>
  <c r="L314" i="18"/>
  <c r="O314" i="18" s="1"/>
  <c r="K80" i="19"/>
  <c r="K397" i="19"/>
  <c r="K466" i="19"/>
  <c r="L333" i="20"/>
  <c r="L331" i="20" s="1"/>
  <c r="K343" i="20"/>
  <c r="K591" i="20"/>
  <c r="K632" i="20"/>
  <c r="K349" i="21"/>
  <c r="K435" i="21"/>
  <c r="K573" i="21"/>
  <c r="O403" i="2"/>
  <c r="L403" i="1"/>
  <c r="O403" i="1" s="1"/>
  <c r="K432" i="2"/>
  <c r="I432" i="1"/>
  <c r="K449" i="2"/>
  <c r="I449" i="1"/>
  <c r="K511" i="2"/>
  <c r="I511" i="1"/>
  <c r="K511" i="1" s="1"/>
  <c r="N98" i="1"/>
  <c r="I306" i="1"/>
  <c r="I424" i="1"/>
  <c r="I491" i="1"/>
  <c r="K491" i="1" s="1"/>
  <c r="L665" i="1"/>
  <c r="J675" i="1"/>
  <c r="L459" i="1"/>
  <c r="I495" i="1"/>
  <c r="K495" i="1" s="1"/>
  <c r="L455" i="1"/>
  <c r="O553" i="2"/>
  <c r="L553" i="1"/>
  <c r="L568" i="1"/>
  <c r="J471" i="1"/>
  <c r="J479" i="1"/>
  <c r="J375" i="1"/>
  <c r="I483" i="1"/>
  <c r="K483" i="1" s="1"/>
  <c r="N555" i="1"/>
  <c r="O382" i="3"/>
  <c r="L382" i="1"/>
  <c r="O382" i="1" s="1"/>
  <c r="K429" i="3"/>
  <c r="J492" i="1"/>
  <c r="J496" i="1"/>
  <c r="J500" i="1"/>
  <c r="J504" i="1"/>
  <c r="J508" i="1"/>
  <c r="J512" i="1"/>
  <c r="J520" i="1"/>
  <c r="J524" i="1"/>
  <c r="J532" i="1"/>
  <c r="J548" i="1"/>
  <c r="I416" i="1"/>
  <c r="K416" i="1" s="1"/>
  <c r="I149" i="1"/>
  <c r="J159" i="1"/>
  <c r="J170" i="1"/>
  <c r="J176" i="1"/>
  <c r="K176" i="1" s="1"/>
  <c r="J197" i="1"/>
  <c r="J203" i="1"/>
  <c r="J213" i="1"/>
  <c r="J219" i="1"/>
  <c r="L225" i="1"/>
  <c r="J233" i="1"/>
  <c r="J374" i="1"/>
  <c r="J379" i="1"/>
  <c r="N387" i="1"/>
  <c r="N404" i="1"/>
  <c r="N410" i="1"/>
  <c r="J417" i="1"/>
  <c r="J429" i="1"/>
  <c r="J434" i="1"/>
  <c r="M292" i="3"/>
  <c r="P292" i="3" s="1"/>
  <c r="P294" i="3"/>
  <c r="K590" i="3"/>
  <c r="I590" i="1"/>
  <c r="K590" i="1" s="1"/>
  <c r="I132" i="1"/>
  <c r="I376" i="1"/>
  <c r="I109" i="1"/>
  <c r="L298" i="1"/>
  <c r="O298" i="1" s="1"/>
  <c r="I467" i="1"/>
  <c r="K467" i="1" s="1"/>
  <c r="I503" i="1"/>
  <c r="K503" i="1" s="1"/>
  <c r="I515" i="1"/>
  <c r="K515" i="1" s="1"/>
  <c r="I561" i="1"/>
  <c r="K561" i="1" s="1"/>
  <c r="L57" i="2"/>
  <c r="L55" i="2" s="1"/>
  <c r="O598" i="3"/>
  <c r="L598" i="1"/>
  <c r="O598" i="1" s="1"/>
  <c r="K632" i="3"/>
  <c r="I632" i="1"/>
  <c r="K649" i="3"/>
  <c r="I649" i="1"/>
  <c r="K649" i="1" s="1"/>
  <c r="N588" i="1"/>
  <c r="K487" i="2"/>
  <c r="I487" i="1"/>
  <c r="K487" i="1" s="1"/>
  <c r="K369" i="7"/>
  <c r="I367" i="7"/>
  <c r="K367" i="7" s="1"/>
  <c r="O554" i="10"/>
  <c r="L554" i="1"/>
  <c r="O554" i="1" s="1"/>
  <c r="K479" i="2"/>
  <c r="I479" i="1"/>
  <c r="K479" i="1" s="1"/>
  <c r="L380" i="1"/>
  <c r="L405" i="1"/>
  <c r="O405" i="1" s="1"/>
  <c r="I420" i="1"/>
  <c r="I471" i="1"/>
  <c r="K471" i="1" s="1"/>
  <c r="I507" i="1"/>
  <c r="K507" i="1" s="1"/>
  <c r="O351" i="2"/>
  <c r="L31" i="2"/>
  <c r="L29" i="2" s="1"/>
  <c r="O29" i="2" s="1"/>
  <c r="I618" i="1"/>
  <c r="I498" i="1"/>
  <c r="K514" i="3"/>
  <c r="I514" i="1"/>
  <c r="K514" i="1" s="1"/>
  <c r="I518" i="1"/>
  <c r="I522" i="1"/>
  <c r="I526" i="1"/>
  <c r="I530" i="1"/>
  <c r="L533" i="1"/>
  <c r="J138" i="1"/>
  <c r="J174" i="1"/>
  <c r="J194" i="1"/>
  <c r="K564" i="2"/>
  <c r="K64" i="3"/>
  <c r="K111" i="3"/>
  <c r="L314" i="3"/>
  <c r="O314" i="3" s="1"/>
  <c r="K343" i="3"/>
  <c r="K416" i="3"/>
  <c r="K547" i="3"/>
  <c r="O651" i="3"/>
  <c r="L144" i="4"/>
  <c r="O144" i="4" s="1"/>
  <c r="J163" i="1"/>
  <c r="K173" i="4"/>
  <c r="J184" i="1"/>
  <c r="J236" i="1"/>
  <c r="J260" i="1"/>
  <c r="J286" i="1"/>
  <c r="J301" i="1"/>
  <c r="J308" i="1"/>
  <c r="J321" i="1"/>
  <c r="J328" i="1"/>
  <c r="K341" i="4"/>
  <c r="O455" i="4"/>
  <c r="J580" i="1"/>
  <c r="N583" i="1"/>
  <c r="J589" i="1"/>
  <c r="K597" i="4"/>
  <c r="K630" i="4"/>
  <c r="O102" i="5"/>
  <c r="K109" i="5"/>
  <c r="K176" i="5"/>
  <c r="J261" i="1"/>
  <c r="J266" i="1"/>
  <c r="M292" i="5"/>
  <c r="P292" i="5" s="1"/>
  <c r="J300" i="1"/>
  <c r="J322" i="1"/>
  <c r="L337" i="1"/>
  <c r="K350" i="5"/>
  <c r="O354" i="5"/>
  <c r="J362" i="1"/>
  <c r="J372" i="1"/>
  <c r="K398" i="5"/>
  <c r="K402" i="5"/>
  <c r="O406" i="5"/>
  <c r="K419" i="5"/>
  <c r="K423" i="5"/>
  <c r="K427" i="5"/>
  <c r="O435" i="5"/>
  <c r="K466" i="5"/>
  <c r="J671" i="5"/>
  <c r="L384" i="1"/>
  <c r="O384" i="1" s="1"/>
  <c r="J391" i="1"/>
  <c r="I398" i="1"/>
  <c r="N31" i="6"/>
  <c r="N11" i="6" s="1"/>
  <c r="N9" i="6" s="1"/>
  <c r="N557" i="1"/>
  <c r="N567" i="1"/>
  <c r="J591" i="1"/>
  <c r="N602" i="1"/>
  <c r="J370" i="1"/>
  <c r="J401" i="1"/>
  <c r="J421" i="1"/>
  <c r="N292" i="4"/>
  <c r="N290" i="4" s="1"/>
  <c r="K481" i="4"/>
  <c r="K623" i="6"/>
  <c r="K625" i="6"/>
  <c r="J306" i="1"/>
  <c r="J320" i="1"/>
  <c r="I328" i="1"/>
  <c r="J340" i="1"/>
  <c r="J344" i="1"/>
  <c r="J349" i="1"/>
  <c r="N32" i="7"/>
  <c r="N30" i="7" s="1"/>
  <c r="N358" i="1"/>
  <c r="J366" i="1"/>
  <c r="O401" i="9"/>
  <c r="J104" i="1"/>
  <c r="J113" i="1"/>
  <c r="J134" i="1"/>
  <c r="K289" i="2"/>
  <c r="K375" i="2"/>
  <c r="K418" i="2"/>
  <c r="J575" i="1"/>
  <c r="K616" i="2"/>
  <c r="N671" i="1"/>
  <c r="K343" i="5"/>
  <c r="K625" i="5"/>
  <c r="N33" i="9"/>
  <c r="N13" i="9" s="1"/>
  <c r="N648" i="1"/>
  <c r="J105" i="1"/>
  <c r="J110" i="1"/>
  <c r="J114" i="1"/>
  <c r="K235" i="2"/>
  <c r="L254" i="2"/>
  <c r="O254" i="2" s="1"/>
  <c r="K368" i="2"/>
  <c r="K398" i="2"/>
  <c r="K423" i="2"/>
  <c r="K427" i="2"/>
  <c r="K431" i="2"/>
  <c r="O435" i="2"/>
  <c r="O439" i="2"/>
  <c r="K88" i="3"/>
  <c r="L275" i="3"/>
  <c r="O275" i="3" s="1"/>
  <c r="K285" i="3"/>
  <c r="K481" i="3"/>
  <c r="K564" i="3"/>
  <c r="N68" i="4"/>
  <c r="N66" i="4" s="1"/>
  <c r="L98" i="4"/>
  <c r="O98" i="4" s="1"/>
  <c r="K133" i="4"/>
  <c r="K219" i="4"/>
  <c r="L224" i="4"/>
  <c r="O224" i="4" s="1"/>
  <c r="L254" i="4"/>
  <c r="O254" i="4" s="1"/>
  <c r="K416" i="4"/>
  <c r="K432" i="4"/>
  <c r="K449" i="4"/>
  <c r="O457" i="4"/>
  <c r="K628" i="4"/>
  <c r="J658" i="1"/>
  <c r="N120" i="5"/>
  <c r="N118" i="5" s="1"/>
  <c r="L144" i="5"/>
  <c r="L142" i="5" s="1"/>
  <c r="I173" i="1"/>
  <c r="J183" i="1"/>
  <c r="K200" i="5"/>
  <c r="K264" i="5"/>
  <c r="P333" i="5"/>
  <c r="N582" i="1"/>
  <c r="N22" i="6"/>
  <c r="K580" i="7"/>
  <c r="K593" i="7"/>
  <c r="K597" i="7"/>
  <c r="K630" i="7"/>
  <c r="L333" i="8"/>
  <c r="O333" i="8" s="1"/>
  <c r="J78" i="1"/>
  <c r="P122" i="2"/>
  <c r="N142" i="2"/>
  <c r="N140" i="2" s="1"/>
  <c r="J474" i="1"/>
  <c r="J560" i="1"/>
  <c r="O599" i="2"/>
  <c r="K372" i="3"/>
  <c r="K402" i="3"/>
  <c r="K427" i="3"/>
  <c r="O439" i="3"/>
  <c r="N55" i="4"/>
  <c r="N53" i="4" s="1"/>
  <c r="P70" i="4"/>
  <c r="K93" i="5"/>
  <c r="L122" i="5"/>
  <c r="O122" i="5" s="1"/>
  <c r="O533" i="5"/>
  <c r="K597" i="5"/>
  <c r="K630" i="5"/>
  <c r="L275" i="11"/>
  <c r="O275" i="11" s="1"/>
  <c r="K375" i="11"/>
  <c r="K380" i="11"/>
  <c r="O383" i="11"/>
  <c r="K418" i="11"/>
  <c r="K422" i="11"/>
  <c r="O455" i="11"/>
  <c r="O459" i="11"/>
  <c r="K465" i="11"/>
  <c r="K533" i="11"/>
  <c r="L144" i="12"/>
  <c r="O144" i="12" s="1"/>
  <c r="K235" i="16"/>
  <c r="N551" i="1"/>
  <c r="K482" i="3"/>
  <c r="O537" i="3"/>
  <c r="O564" i="3"/>
  <c r="N142" i="4"/>
  <c r="N140" i="4" s="1"/>
  <c r="K185" i="5"/>
  <c r="N33" i="5"/>
  <c r="N13" i="5" s="1"/>
  <c r="K380" i="5"/>
  <c r="N34" i="5"/>
  <c r="N14" i="5" s="1"/>
  <c r="J65" i="1"/>
  <c r="L71" i="1"/>
  <c r="J87" i="1"/>
  <c r="J93" i="1"/>
  <c r="L294" i="7"/>
  <c r="O294" i="7" s="1"/>
  <c r="K83" i="11"/>
  <c r="N580" i="1"/>
  <c r="N584" i="1"/>
  <c r="J590" i="1"/>
  <c r="K340" i="6"/>
  <c r="O352" i="6"/>
  <c r="K370" i="6"/>
  <c r="K396" i="6"/>
  <c r="K455" i="6"/>
  <c r="N312" i="8"/>
  <c r="N310" i="8" s="1"/>
  <c r="O337" i="8"/>
  <c r="K92" i="9"/>
  <c r="K111" i="9"/>
  <c r="J218" i="1"/>
  <c r="N312" i="9"/>
  <c r="N310" i="9" s="1"/>
  <c r="J376" i="1"/>
  <c r="O380" i="9"/>
  <c r="O406" i="9"/>
  <c r="K423" i="9"/>
  <c r="K431" i="9"/>
  <c r="K349" i="10"/>
  <c r="K375" i="10"/>
  <c r="K380" i="10"/>
  <c r="K417" i="10"/>
  <c r="J597" i="1"/>
  <c r="J655" i="1"/>
  <c r="N661" i="1"/>
  <c r="J677" i="1"/>
  <c r="N57" i="1"/>
  <c r="K88" i="11"/>
  <c r="K112" i="11"/>
  <c r="J195" i="1"/>
  <c r="J201" i="1"/>
  <c r="J212" i="1"/>
  <c r="N312" i="11"/>
  <c r="N310" i="11" s="1"/>
  <c r="K466" i="11"/>
  <c r="K474" i="11"/>
  <c r="K498" i="11"/>
  <c r="K629" i="11"/>
  <c r="N49" i="1"/>
  <c r="K164" i="12"/>
  <c r="K435" i="12"/>
  <c r="K93" i="13"/>
  <c r="N222" i="13"/>
  <c r="N220" i="13" s="1"/>
  <c r="J232" i="1"/>
  <c r="J238" i="1"/>
  <c r="J246" i="1"/>
  <c r="K376" i="13"/>
  <c r="J660" i="1"/>
  <c r="J665" i="1"/>
  <c r="N668" i="1"/>
  <c r="K80" i="15"/>
  <c r="P333" i="15"/>
  <c r="K349" i="15"/>
  <c r="P314" i="17"/>
  <c r="M312" i="17"/>
  <c r="P312" i="17" s="1"/>
  <c r="I623" i="1"/>
  <c r="I628" i="1"/>
  <c r="O352" i="19"/>
  <c r="I481" i="1"/>
  <c r="J528" i="1"/>
  <c r="P70" i="21"/>
  <c r="M68" i="21"/>
  <c r="P68" i="21" s="1"/>
  <c r="J651" i="6"/>
  <c r="K173" i="7"/>
  <c r="K200" i="7"/>
  <c r="O597" i="8"/>
  <c r="O601" i="8"/>
  <c r="O650" i="8"/>
  <c r="N148" i="1"/>
  <c r="J158" i="1"/>
  <c r="J196" i="1"/>
  <c r="J202" i="1"/>
  <c r="I219" i="1"/>
  <c r="M224" i="1"/>
  <c r="J231" i="1"/>
  <c r="J245" i="1"/>
  <c r="L100" i="1"/>
  <c r="J112" i="1"/>
  <c r="L333" i="10"/>
  <c r="O333" i="10" s="1"/>
  <c r="L566" i="1"/>
  <c r="N571" i="1"/>
  <c r="O580" i="10"/>
  <c r="O584" i="10"/>
  <c r="L597" i="1"/>
  <c r="K631" i="10"/>
  <c r="K219" i="12"/>
  <c r="N353" i="1"/>
  <c r="J361" i="1"/>
  <c r="I368" i="1"/>
  <c r="K376" i="12"/>
  <c r="O380" i="12"/>
  <c r="J426" i="1"/>
  <c r="J430" i="1"/>
  <c r="J435" i="1"/>
  <c r="O459" i="12"/>
  <c r="K465" i="12"/>
  <c r="K473" i="12"/>
  <c r="O535" i="12"/>
  <c r="J84" i="1"/>
  <c r="K377" i="13"/>
  <c r="J647" i="1"/>
  <c r="K626" i="14"/>
  <c r="K624" i="14"/>
  <c r="L122" i="17"/>
  <c r="O122" i="17" s="1"/>
  <c r="K132" i="17"/>
  <c r="K173" i="17"/>
  <c r="K189" i="17"/>
  <c r="P254" i="17"/>
  <c r="K473" i="18"/>
  <c r="K481" i="18"/>
  <c r="K497" i="18"/>
  <c r="K619" i="18"/>
  <c r="N437" i="1"/>
  <c r="J450" i="1"/>
  <c r="J455" i="1"/>
  <c r="N33" i="7"/>
  <c r="N13" i="7" s="1"/>
  <c r="J464" i="1"/>
  <c r="I516" i="1"/>
  <c r="I520" i="1"/>
  <c r="I524" i="1"/>
  <c r="I532" i="1"/>
  <c r="N292" i="8"/>
  <c r="N290" i="8" s="1"/>
  <c r="N22" i="9"/>
  <c r="I93" i="1"/>
  <c r="K93" i="1" s="1"/>
  <c r="N222" i="9"/>
  <c r="N220" i="9" s="1"/>
  <c r="N252" i="9"/>
  <c r="N250" i="9" s="1"/>
  <c r="K612" i="9"/>
  <c r="K616" i="9"/>
  <c r="N292" i="12"/>
  <c r="N290" i="12" s="1"/>
  <c r="L439" i="1"/>
  <c r="J469" i="1"/>
  <c r="K108" i="6"/>
  <c r="I112" i="1"/>
  <c r="L124" i="1"/>
  <c r="J132" i="1"/>
  <c r="I158" i="1"/>
  <c r="K158" i="1" s="1"/>
  <c r="J175" i="1"/>
  <c r="J185" i="1"/>
  <c r="K267" i="6"/>
  <c r="K341" i="6"/>
  <c r="N389" i="1"/>
  <c r="J397" i="1"/>
  <c r="N401" i="1"/>
  <c r="N405" i="1"/>
  <c r="K418" i="6"/>
  <c r="J422" i="1"/>
  <c r="J630" i="1"/>
  <c r="J229" i="1"/>
  <c r="J237" i="1"/>
  <c r="J244" i="1"/>
  <c r="J287" i="1"/>
  <c r="L333" i="7"/>
  <c r="O333" i="7" s="1"/>
  <c r="K341" i="7"/>
  <c r="K345" i="7"/>
  <c r="O349" i="7"/>
  <c r="L353" i="1"/>
  <c r="O353" i="1" s="1"/>
  <c r="J360" i="1"/>
  <c r="I375" i="1"/>
  <c r="K380" i="7"/>
  <c r="N388" i="1"/>
  <c r="I397" i="1"/>
  <c r="L401" i="1"/>
  <c r="J412" i="1"/>
  <c r="K418" i="7"/>
  <c r="K422" i="7"/>
  <c r="J445" i="1"/>
  <c r="O459" i="7"/>
  <c r="K465" i="7"/>
  <c r="J468" i="1"/>
  <c r="K425" i="8"/>
  <c r="K464" i="8"/>
  <c r="K614" i="8"/>
  <c r="L70" i="9"/>
  <c r="O70" i="9" s="1"/>
  <c r="N292" i="10"/>
  <c r="N290" i="10" s="1"/>
  <c r="K481" i="10"/>
  <c r="K591" i="10"/>
  <c r="K595" i="10"/>
  <c r="K615" i="10"/>
  <c r="L254" i="11"/>
  <c r="O254" i="11" s="1"/>
  <c r="L294" i="11"/>
  <c r="L292" i="11" s="1"/>
  <c r="O292" i="11" s="1"/>
  <c r="O566" i="11"/>
  <c r="L314" i="12"/>
  <c r="O314" i="12" s="1"/>
  <c r="K497" i="12"/>
  <c r="K199" i="13"/>
  <c r="P275" i="13"/>
  <c r="K417" i="13"/>
  <c r="K450" i="13"/>
  <c r="K455" i="13"/>
  <c r="M252" i="18"/>
  <c r="M250" i="18" s="1"/>
  <c r="P250" i="18" s="1"/>
  <c r="P254" i="18"/>
  <c r="L34" i="18"/>
  <c r="K376" i="18"/>
  <c r="N380" i="1"/>
  <c r="N33" i="18"/>
  <c r="N13" i="18" s="1"/>
  <c r="J398" i="1"/>
  <c r="K402" i="18"/>
  <c r="N34" i="18"/>
  <c r="N14" i="18" s="1"/>
  <c r="K419" i="18"/>
  <c r="J423" i="1"/>
  <c r="K427" i="18"/>
  <c r="J431" i="1"/>
  <c r="N435" i="1"/>
  <c r="J481" i="1"/>
  <c r="J485" i="1"/>
  <c r="J489" i="1"/>
  <c r="J493" i="1"/>
  <c r="J497" i="1"/>
  <c r="J501" i="1"/>
  <c r="I615" i="1"/>
  <c r="N31" i="8"/>
  <c r="N29" i="8" s="1"/>
  <c r="J673" i="1"/>
  <c r="J651" i="11"/>
  <c r="K624" i="20"/>
  <c r="L224" i="6"/>
  <c r="O224" i="6" s="1"/>
  <c r="K264" i="6"/>
  <c r="L294" i="6"/>
  <c r="L292" i="6" s="1"/>
  <c r="K497" i="6"/>
  <c r="O564" i="6"/>
  <c r="P337" i="7"/>
  <c r="K350" i="7"/>
  <c r="O354" i="7"/>
  <c r="K368" i="7"/>
  <c r="K402" i="7"/>
  <c r="K419" i="7"/>
  <c r="K423" i="7"/>
  <c r="K431" i="7"/>
  <c r="O439" i="7"/>
  <c r="K466" i="7"/>
  <c r="L57" i="8"/>
  <c r="L55" i="8" s="1"/>
  <c r="L53" i="8" s="1"/>
  <c r="L70" i="8"/>
  <c r="L68" i="8" s="1"/>
  <c r="L66" i="8" s="1"/>
  <c r="K80" i="8"/>
  <c r="K88" i="8"/>
  <c r="N142" i="8"/>
  <c r="N140" i="8" s="1"/>
  <c r="P140" i="8" s="1"/>
  <c r="K173" i="8"/>
  <c r="K189" i="8"/>
  <c r="K200" i="8"/>
  <c r="K340" i="8"/>
  <c r="K426" i="8"/>
  <c r="K430" i="8"/>
  <c r="K533" i="8"/>
  <c r="O568" i="8"/>
  <c r="O649" i="8"/>
  <c r="J651" i="8"/>
  <c r="K651" i="8" s="1"/>
  <c r="L275" i="9"/>
  <c r="O275" i="9" s="1"/>
  <c r="K375" i="9"/>
  <c r="O597" i="9"/>
  <c r="O601" i="9"/>
  <c r="K631" i="9"/>
  <c r="J671" i="9"/>
  <c r="N55" i="10"/>
  <c r="P55" i="10" s="1"/>
  <c r="K424" i="10"/>
  <c r="K432" i="10"/>
  <c r="O457" i="10"/>
  <c r="K533" i="10"/>
  <c r="K629" i="10"/>
  <c r="K270" i="11"/>
  <c r="K421" i="11"/>
  <c r="K595" i="11"/>
  <c r="K614" i="11"/>
  <c r="K173" i="12"/>
  <c r="K189" i="12"/>
  <c r="K200" i="12"/>
  <c r="K285" i="12"/>
  <c r="K343" i="12"/>
  <c r="O457" i="12"/>
  <c r="K629" i="12"/>
  <c r="O649" i="12"/>
  <c r="N43" i="13"/>
  <c r="N41" i="13" s="1"/>
  <c r="K110" i="13"/>
  <c r="K138" i="13"/>
  <c r="K173" i="13"/>
  <c r="K189" i="13"/>
  <c r="L275" i="13"/>
  <c r="O275" i="13" s="1"/>
  <c r="K380" i="13"/>
  <c r="K418" i="13"/>
  <c r="K426" i="13"/>
  <c r="K430" i="13"/>
  <c r="K435" i="13"/>
  <c r="K349" i="14"/>
  <c r="O352" i="14"/>
  <c r="P224" i="20"/>
  <c r="K80" i="14"/>
  <c r="K84" i="14"/>
  <c r="K88" i="14"/>
  <c r="O383" i="14"/>
  <c r="K397" i="14"/>
  <c r="O401" i="14"/>
  <c r="K418" i="14"/>
  <c r="K426" i="14"/>
  <c r="K430" i="14"/>
  <c r="K435" i="14"/>
  <c r="O455" i="14"/>
  <c r="K499" i="14"/>
  <c r="L59" i="1"/>
  <c r="K81" i="15"/>
  <c r="K85" i="15"/>
  <c r="J89" i="1"/>
  <c r="K113" i="15"/>
  <c r="K219" i="15"/>
  <c r="L333" i="15"/>
  <c r="O333" i="15" s="1"/>
  <c r="K345" i="15"/>
  <c r="K473" i="15"/>
  <c r="K497" i="15"/>
  <c r="K573" i="15"/>
  <c r="K200" i="16"/>
  <c r="K229" i="16"/>
  <c r="K396" i="16"/>
  <c r="K417" i="16"/>
  <c r="K425" i="16"/>
  <c r="K464" i="16"/>
  <c r="K133" i="17"/>
  <c r="L32" i="17"/>
  <c r="K435" i="17"/>
  <c r="O459" i="17"/>
  <c r="L122" i="18"/>
  <c r="O122" i="18" s="1"/>
  <c r="K189" i="18"/>
  <c r="K200" i="18"/>
  <c r="O337" i="18"/>
  <c r="K377" i="18"/>
  <c r="O568" i="18"/>
  <c r="O599" i="18"/>
  <c r="N604" i="1"/>
  <c r="I616" i="1"/>
  <c r="K629" i="18"/>
  <c r="J473" i="1"/>
  <c r="J477" i="1"/>
  <c r="L224" i="20"/>
  <c r="O224" i="20" s="1"/>
  <c r="J267" i="1"/>
  <c r="J281" i="1"/>
  <c r="L295" i="1"/>
  <c r="J324" i="1"/>
  <c r="I377" i="1"/>
  <c r="I381" i="1"/>
  <c r="J393" i="1"/>
  <c r="J399" i="1"/>
  <c r="K423" i="20"/>
  <c r="K431" i="20"/>
  <c r="O439" i="20"/>
  <c r="K466" i="20"/>
  <c r="I474" i="1"/>
  <c r="O533" i="20"/>
  <c r="K580" i="20"/>
  <c r="K593" i="20"/>
  <c r="K629" i="20"/>
  <c r="L98" i="21"/>
  <c r="L96" i="21" s="1"/>
  <c r="K350" i="21"/>
  <c r="O380" i="21"/>
  <c r="K431" i="21"/>
  <c r="K474" i="21"/>
  <c r="O533" i="21"/>
  <c r="K560" i="21"/>
  <c r="K580" i="21"/>
  <c r="K589" i="21"/>
  <c r="O599" i="21"/>
  <c r="K633" i="21"/>
  <c r="K186" i="14"/>
  <c r="N252" i="14"/>
  <c r="N250" i="14" s="1"/>
  <c r="K249" i="15"/>
  <c r="K350" i="15"/>
  <c r="K430" i="16"/>
  <c r="K435" i="16"/>
  <c r="K465" i="16"/>
  <c r="O599" i="17"/>
  <c r="O649" i="17"/>
  <c r="K368" i="19"/>
  <c r="M96" i="21"/>
  <c r="M94" i="21" s="1"/>
  <c r="N252" i="21"/>
  <c r="N250" i="21" s="1"/>
  <c r="K267" i="21"/>
  <c r="K617" i="21"/>
  <c r="K149" i="14"/>
  <c r="N292" i="14"/>
  <c r="N290" i="14" s="1"/>
  <c r="K591" i="14"/>
  <c r="O582" i="15"/>
  <c r="N68" i="16"/>
  <c r="N66" i="16" s="1"/>
  <c r="K349" i="18"/>
  <c r="O437" i="18"/>
  <c r="K450" i="18"/>
  <c r="K455" i="18"/>
  <c r="O551" i="18"/>
  <c r="O580" i="18"/>
  <c r="P275" i="19"/>
  <c r="L314" i="19"/>
  <c r="O314" i="19" s="1"/>
  <c r="K420" i="19"/>
  <c r="K499" i="19"/>
  <c r="O537" i="19"/>
  <c r="N43" i="20"/>
  <c r="N41" i="20" s="1"/>
  <c r="K64" i="20"/>
  <c r="K82" i="20"/>
  <c r="P122" i="20"/>
  <c r="N273" i="20"/>
  <c r="N271" i="20" s="1"/>
  <c r="N331" i="20"/>
  <c r="N329" i="20" s="1"/>
  <c r="K634" i="20"/>
  <c r="O102" i="21"/>
  <c r="N33" i="14"/>
  <c r="N13" i="14" s="1"/>
  <c r="K343" i="15"/>
  <c r="N31" i="15"/>
  <c r="N11" i="15" s="1"/>
  <c r="N9" i="15" s="1"/>
  <c r="K423" i="16"/>
  <c r="K427" i="16"/>
  <c r="K431" i="16"/>
  <c r="K266" i="17"/>
  <c r="K499" i="17"/>
  <c r="N142" i="21"/>
  <c r="N140" i="21" s="1"/>
  <c r="N120" i="14"/>
  <c r="N118" i="14" s="1"/>
  <c r="N273" i="14"/>
  <c r="N271" i="14" s="1"/>
  <c r="L45" i="15"/>
  <c r="L43" i="15" s="1"/>
  <c r="L41" i="15" s="1"/>
  <c r="L275" i="15"/>
  <c r="O275" i="15" s="1"/>
  <c r="K417" i="15"/>
  <c r="K425" i="15"/>
  <c r="O437" i="15"/>
  <c r="K547" i="15"/>
  <c r="K628" i="16"/>
  <c r="N120" i="17"/>
  <c r="P120" i="17" s="1"/>
  <c r="K149" i="18"/>
  <c r="L333" i="18"/>
  <c r="L331" i="18" s="1"/>
  <c r="K341" i="18"/>
  <c r="O349" i="18"/>
  <c r="K370" i="19"/>
  <c r="K429" i="19"/>
  <c r="O437" i="19"/>
  <c r="K450" i="19"/>
  <c r="O566" i="19"/>
  <c r="L144" i="21"/>
  <c r="L142" i="21" s="1"/>
  <c r="N331" i="21"/>
  <c r="N329" i="21" s="1"/>
  <c r="J671" i="21"/>
  <c r="O552" i="7"/>
  <c r="L31" i="7"/>
  <c r="O31" i="7" s="1"/>
  <c r="I468" i="1"/>
  <c r="K468" i="1" s="1"/>
  <c r="N120" i="2"/>
  <c r="N118" i="2" s="1"/>
  <c r="P254" i="5"/>
  <c r="M252" i="5"/>
  <c r="M250" i="5" s="1"/>
  <c r="M45" i="1"/>
  <c r="I64" i="1"/>
  <c r="I81" i="1"/>
  <c r="I108" i="1"/>
  <c r="I186" i="1"/>
  <c r="I215" i="1"/>
  <c r="I249" i="1"/>
  <c r="I304" i="1"/>
  <c r="N314" i="1"/>
  <c r="I345" i="1"/>
  <c r="L354" i="1"/>
  <c r="J419" i="1"/>
  <c r="L458" i="1"/>
  <c r="O458" i="1" s="1"/>
  <c r="I466" i="1"/>
  <c r="I472" i="1"/>
  <c r="K472" i="1" s="1"/>
  <c r="I488" i="1"/>
  <c r="K488" i="1" s="1"/>
  <c r="I631" i="1"/>
  <c r="M96" i="2"/>
  <c r="P96" i="2" s="1"/>
  <c r="P254" i="2"/>
  <c r="M252" i="2"/>
  <c r="M250" i="2" s="1"/>
  <c r="J625" i="1"/>
  <c r="N33" i="4"/>
  <c r="N13" i="4" s="1"/>
  <c r="K328" i="4"/>
  <c r="M49" i="5"/>
  <c r="M43" i="5" s="1"/>
  <c r="O49" i="5"/>
  <c r="K368" i="5"/>
  <c r="K372" i="5"/>
  <c r="K422" i="6"/>
  <c r="K219" i="8"/>
  <c r="K368" i="9"/>
  <c r="K372" i="9"/>
  <c r="K465" i="9"/>
  <c r="I512" i="1"/>
  <c r="K512" i="1" s="1"/>
  <c r="K149" i="2"/>
  <c r="N32" i="4"/>
  <c r="N30" i="4" s="1"/>
  <c r="O383" i="7"/>
  <c r="L32" i="7"/>
  <c r="L30" i="7" s="1"/>
  <c r="L49" i="1"/>
  <c r="L58" i="1"/>
  <c r="I87" i="1"/>
  <c r="I110" i="1"/>
  <c r="I201" i="1"/>
  <c r="N279" i="1"/>
  <c r="J396" i="1"/>
  <c r="N406" i="1"/>
  <c r="I422" i="1"/>
  <c r="L438" i="1"/>
  <c r="O438" i="1" s="1"/>
  <c r="L599" i="1"/>
  <c r="P57" i="2"/>
  <c r="K199" i="2"/>
  <c r="O455" i="2"/>
  <c r="N586" i="1"/>
  <c r="K595" i="2"/>
  <c r="J648" i="1"/>
  <c r="L122" i="4"/>
  <c r="L120" i="4" s="1"/>
  <c r="K249" i="5"/>
  <c r="N34" i="6"/>
  <c r="P224" i="7"/>
  <c r="M222" i="7"/>
  <c r="M220" i="7" s="1"/>
  <c r="N142" i="9"/>
  <c r="N140" i="9" s="1"/>
  <c r="L279" i="1"/>
  <c r="O279" i="1" s="1"/>
  <c r="N665" i="1"/>
  <c r="M252" i="9"/>
  <c r="P252" i="9" s="1"/>
  <c r="P254" i="9"/>
  <c r="K623" i="18"/>
  <c r="K620" i="18"/>
  <c r="M70" i="1"/>
  <c r="I83" i="1"/>
  <c r="L126" i="1"/>
  <c r="O126" i="1" s="1"/>
  <c r="I133" i="1"/>
  <c r="L148" i="1"/>
  <c r="O148" i="1" s="1"/>
  <c r="I213" i="1"/>
  <c r="I244" i="1"/>
  <c r="K244" i="1" s="1"/>
  <c r="I289" i="1"/>
  <c r="I373" i="1"/>
  <c r="K373" i="1" s="1"/>
  <c r="L456" i="1"/>
  <c r="O456" i="1" s="1"/>
  <c r="I480" i="1"/>
  <c r="K480" i="1" s="1"/>
  <c r="I496" i="1"/>
  <c r="K496" i="1" s="1"/>
  <c r="I508" i="1"/>
  <c r="K508" i="1" s="1"/>
  <c r="N535" i="1"/>
  <c r="I577" i="1"/>
  <c r="K577" i="1" s="1"/>
  <c r="L584" i="1"/>
  <c r="J188" i="1"/>
  <c r="J199" i="1"/>
  <c r="J363" i="1"/>
  <c r="I369" i="1"/>
  <c r="K369" i="1" s="1"/>
  <c r="O651" i="8"/>
  <c r="I489" i="1"/>
  <c r="K489" i="1" s="1"/>
  <c r="J670" i="1"/>
  <c r="I84" i="1"/>
  <c r="I88" i="1"/>
  <c r="N337" i="1"/>
  <c r="N352" i="1"/>
  <c r="I402" i="1"/>
  <c r="I418" i="1"/>
  <c r="L567" i="1"/>
  <c r="O567" i="1" s="1"/>
  <c r="L600" i="1"/>
  <c r="O600" i="1" s="1"/>
  <c r="J189" i="1"/>
  <c r="J200" i="1"/>
  <c r="J210" i="1"/>
  <c r="K533" i="3"/>
  <c r="K466" i="4"/>
  <c r="J155" i="1"/>
  <c r="J162" i="1"/>
  <c r="K620" i="5"/>
  <c r="K235" i="6"/>
  <c r="J173" i="1"/>
  <c r="I185" i="1"/>
  <c r="I238" i="1"/>
  <c r="K238" i="1" s="1"/>
  <c r="I266" i="1"/>
  <c r="M294" i="1"/>
  <c r="I309" i="1"/>
  <c r="I339" i="1"/>
  <c r="K339" i="1" s="1"/>
  <c r="L383" i="1"/>
  <c r="J402" i="1"/>
  <c r="J418" i="1"/>
  <c r="I452" i="1"/>
  <c r="K452" i="1" s="1"/>
  <c r="I465" i="1"/>
  <c r="I476" i="1"/>
  <c r="K476" i="1" s="1"/>
  <c r="I492" i="1"/>
  <c r="K492" i="1" s="1"/>
  <c r="I497" i="1"/>
  <c r="L648" i="1"/>
  <c r="L98" i="2"/>
  <c r="L96" i="2" s="1"/>
  <c r="L144" i="2"/>
  <c r="O144" i="2" s="1"/>
  <c r="J669" i="1"/>
  <c r="L24" i="4"/>
  <c r="O24" i="4" s="1"/>
  <c r="K381" i="4"/>
  <c r="N34" i="4"/>
  <c r="N14" i="4" s="1"/>
  <c r="K632" i="4"/>
  <c r="K111" i="5"/>
  <c r="N258" i="1"/>
  <c r="I464" i="1"/>
  <c r="J573" i="1"/>
  <c r="I85" i="1"/>
  <c r="L99" i="1"/>
  <c r="J149" i="1"/>
  <c r="I204" i="1"/>
  <c r="N224" i="1"/>
  <c r="M314" i="1"/>
  <c r="L349" i="1"/>
  <c r="J465" i="1"/>
  <c r="I504" i="1"/>
  <c r="K504" i="1" s="1"/>
  <c r="K498" i="3"/>
  <c r="O352" i="4"/>
  <c r="L32" i="4"/>
  <c r="L30" i="4" s="1"/>
  <c r="K622" i="4"/>
  <c r="K624" i="4"/>
  <c r="K620" i="4"/>
  <c r="N55" i="5"/>
  <c r="N53" i="5" s="1"/>
  <c r="N22" i="5"/>
  <c r="O401" i="5"/>
  <c r="K418" i="5"/>
  <c r="K422" i="5"/>
  <c r="K426" i="5"/>
  <c r="K430" i="5"/>
  <c r="O459" i="5"/>
  <c r="K465" i="5"/>
  <c r="J503" i="1"/>
  <c r="K631" i="7"/>
  <c r="O347" i="10"/>
  <c r="K451" i="2"/>
  <c r="K499" i="2"/>
  <c r="J514" i="1"/>
  <c r="J546" i="1"/>
  <c r="J578" i="1"/>
  <c r="N585" i="1"/>
  <c r="N600" i="1"/>
  <c r="K630" i="2"/>
  <c r="N651" i="1"/>
  <c r="J671" i="2"/>
  <c r="O74" i="3"/>
  <c r="O102" i="3"/>
  <c r="P333" i="3"/>
  <c r="K340" i="3"/>
  <c r="L45" i="4"/>
  <c r="O45" i="4" s="1"/>
  <c r="K189" i="4"/>
  <c r="K200" i="4"/>
  <c r="K270" i="4"/>
  <c r="L275" i="4"/>
  <c r="O275" i="4" s="1"/>
  <c r="P333" i="4"/>
  <c r="L34" i="4"/>
  <c r="O535" i="4"/>
  <c r="K92" i="5"/>
  <c r="K266" i="5"/>
  <c r="K499" i="5"/>
  <c r="L23" i="6"/>
  <c r="O23" i="6" s="1"/>
  <c r="P57" i="6"/>
  <c r="K111" i="6"/>
  <c r="L144" i="6"/>
  <c r="O144" i="6" s="1"/>
  <c r="K173" i="6"/>
  <c r="K200" i="6"/>
  <c r="K350" i="6"/>
  <c r="K450" i="6"/>
  <c r="K482" i="6"/>
  <c r="O535" i="6"/>
  <c r="K564" i="6"/>
  <c r="K573" i="6"/>
  <c r="P333" i="7"/>
  <c r="K340" i="7"/>
  <c r="K349" i="7"/>
  <c r="O352" i="7"/>
  <c r="K370" i="7"/>
  <c r="K401" i="7"/>
  <c r="O404" i="7"/>
  <c r="K417" i="7"/>
  <c r="K421" i="7"/>
  <c r="K425" i="7"/>
  <c r="K429" i="7"/>
  <c r="K450" i="7"/>
  <c r="K455" i="7"/>
  <c r="K464" i="7"/>
  <c r="K499" i="7"/>
  <c r="O580" i="7"/>
  <c r="K83" i="8"/>
  <c r="K149" i="8"/>
  <c r="P224" i="8"/>
  <c r="K266" i="8"/>
  <c r="K285" i="8"/>
  <c r="O352" i="8"/>
  <c r="K450" i="8"/>
  <c r="K632" i="8"/>
  <c r="K649" i="8"/>
  <c r="L333" i="9"/>
  <c r="L331" i="9" s="1"/>
  <c r="K417" i="9"/>
  <c r="K464" i="9"/>
  <c r="P57" i="10"/>
  <c r="N142" i="10"/>
  <c r="N140" i="10" s="1"/>
  <c r="K343" i="10"/>
  <c r="K381" i="10"/>
  <c r="K473" i="10"/>
  <c r="K589" i="10"/>
  <c r="K597" i="10"/>
  <c r="K65" i="11"/>
  <c r="N31" i="17"/>
  <c r="N29" i="17" s="1"/>
  <c r="N570" i="1"/>
  <c r="J666" i="1"/>
  <c r="K591" i="3"/>
  <c r="I635" i="1"/>
  <c r="K229" i="4"/>
  <c r="L333" i="4"/>
  <c r="O333" i="4" s="1"/>
  <c r="K345" i="4"/>
  <c r="K474" i="4"/>
  <c r="K482" i="4"/>
  <c r="J646" i="1"/>
  <c r="N26" i="5"/>
  <c r="N16" i="5" s="1"/>
  <c r="K65" i="5"/>
  <c r="J576" i="1"/>
  <c r="K398" i="6"/>
  <c r="N33" i="6"/>
  <c r="N13" i="6" s="1"/>
  <c r="K533" i="6"/>
  <c r="N559" i="1"/>
  <c r="O568" i="6"/>
  <c r="K93" i="7"/>
  <c r="L98" i="7"/>
  <c r="O98" i="7" s="1"/>
  <c r="K108" i="7"/>
  <c r="K397" i="7"/>
  <c r="K481" i="7"/>
  <c r="K591" i="7"/>
  <c r="K595" i="7"/>
  <c r="J651" i="7"/>
  <c r="O102" i="10"/>
  <c r="K109" i="10"/>
  <c r="K113" i="10"/>
  <c r="N252" i="10"/>
  <c r="N250" i="10" s="1"/>
  <c r="N331" i="10"/>
  <c r="N329" i="10" s="1"/>
  <c r="K340" i="10"/>
  <c r="K401" i="10"/>
  <c r="K425" i="10"/>
  <c r="K497" i="10"/>
  <c r="J466" i="1"/>
  <c r="J656" i="1"/>
  <c r="J662" i="1"/>
  <c r="N43" i="3"/>
  <c r="N41" i="3" s="1"/>
  <c r="L224" i="3"/>
  <c r="O224" i="3" s="1"/>
  <c r="O380" i="3"/>
  <c r="K430" i="3"/>
  <c r="O459" i="3"/>
  <c r="N568" i="1"/>
  <c r="I595" i="1"/>
  <c r="N597" i="1"/>
  <c r="J610" i="1"/>
  <c r="J614" i="1"/>
  <c r="J622" i="1"/>
  <c r="J631" i="1"/>
  <c r="M254" i="1"/>
  <c r="J262" i="1"/>
  <c r="I380" i="1"/>
  <c r="N31" i="4"/>
  <c r="N29" i="4" s="1"/>
  <c r="O533" i="4"/>
  <c r="O564" i="4"/>
  <c r="O568" i="4"/>
  <c r="J629" i="1"/>
  <c r="L98" i="5"/>
  <c r="L96" i="5" s="1"/>
  <c r="K376" i="5"/>
  <c r="K547" i="5"/>
  <c r="K648" i="5"/>
  <c r="K266" i="6"/>
  <c r="L34" i="6"/>
  <c r="N26" i="8"/>
  <c r="N16" i="8" s="1"/>
  <c r="K81" i="8"/>
  <c r="L294" i="8"/>
  <c r="L292" i="8" s="1"/>
  <c r="O292" i="8" s="1"/>
  <c r="O354" i="8"/>
  <c r="K597" i="8"/>
  <c r="L294" i="9"/>
  <c r="O294" i="9" s="1"/>
  <c r="K343" i="9"/>
  <c r="O406" i="17"/>
  <c r="L34" i="17"/>
  <c r="J216" i="1"/>
  <c r="K229" i="2"/>
  <c r="K341" i="2"/>
  <c r="K401" i="2"/>
  <c r="L404" i="1"/>
  <c r="N409" i="1"/>
  <c r="K417" i="2"/>
  <c r="K421" i="2"/>
  <c r="I429" i="1"/>
  <c r="O457" i="2"/>
  <c r="I482" i="1"/>
  <c r="I612" i="1"/>
  <c r="J632" i="1"/>
  <c r="P70" i="3"/>
  <c r="J83" i="1"/>
  <c r="J302" i="1"/>
  <c r="L435" i="1"/>
  <c r="J446" i="1"/>
  <c r="N455" i="1"/>
  <c r="N538" i="1"/>
  <c r="N33" i="3"/>
  <c r="N13" i="3" s="1"/>
  <c r="K149" i="4"/>
  <c r="L314" i="4"/>
  <c r="O314" i="4" s="1"/>
  <c r="L601" i="1"/>
  <c r="I614" i="1"/>
  <c r="I622" i="1"/>
  <c r="I626" i="1"/>
  <c r="N68" i="6"/>
  <c r="N66" i="6" s="1"/>
  <c r="K420" i="6"/>
  <c r="K560" i="6"/>
  <c r="J657" i="1"/>
  <c r="O102" i="7"/>
  <c r="K109" i="7"/>
  <c r="K376" i="7"/>
  <c r="K482" i="7"/>
  <c r="O599" i="7"/>
  <c r="K133" i="8"/>
  <c r="K185" i="8"/>
  <c r="P275" i="8"/>
  <c r="K381" i="8"/>
  <c r="K432" i="8"/>
  <c r="O457" i="8"/>
  <c r="K499" i="8"/>
  <c r="K424" i="9"/>
  <c r="K428" i="9"/>
  <c r="O599" i="9"/>
  <c r="L45" i="10"/>
  <c r="O45" i="10" s="1"/>
  <c r="K64" i="10"/>
  <c r="K92" i="10"/>
  <c r="N120" i="10"/>
  <c r="N118" i="10" s="1"/>
  <c r="O401" i="10"/>
  <c r="K418" i="10"/>
  <c r="K422" i="10"/>
  <c r="K430" i="10"/>
  <c r="K435" i="10"/>
  <c r="O455" i="10"/>
  <c r="N31" i="2"/>
  <c r="N29" i="2" s="1"/>
  <c r="N463" i="1"/>
  <c r="J517" i="1"/>
  <c r="J521" i="1"/>
  <c r="J525" i="1"/>
  <c r="J529" i="1"/>
  <c r="K573" i="2"/>
  <c r="N605" i="1"/>
  <c r="I624" i="1"/>
  <c r="J672" i="1"/>
  <c r="P57" i="3"/>
  <c r="N34" i="3"/>
  <c r="N14" i="3" s="1"/>
  <c r="K419" i="3"/>
  <c r="J527" i="1"/>
  <c r="K580" i="3"/>
  <c r="K615" i="3"/>
  <c r="K158" i="5"/>
  <c r="K349" i="5"/>
  <c r="K498" i="5"/>
  <c r="J564" i="1"/>
  <c r="N644" i="5"/>
  <c r="N640" i="5" s="1"/>
  <c r="N638" i="5" s="1"/>
  <c r="N636" i="5" s="1"/>
  <c r="P45" i="6"/>
  <c r="K199" i="6"/>
  <c r="K219" i="6"/>
  <c r="N222" i="6"/>
  <c r="N220" i="6" s="1"/>
  <c r="K466" i="6"/>
  <c r="N55" i="7"/>
  <c r="N53" i="7" s="1"/>
  <c r="N142" i="7"/>
  <c r="N140" i="7" s="1"/>
  <c r="N55" i="9"/>
  <c r="N53" i="9" s="1"/>
  <c r="N33" i="10"/>
  <c r="N13" i="10" s="1"/>
  <c r="L314" i="2"/>
  <c r="O314" i="2" s="1"/>
  <c r="K324" i="2"/>
  <c r="K380" i="2"/>
  <c r="K455" i="2"/>
  <c r="J490" i="1"/>
  <c r="J498" i="1"/>
  <c r="J607" i="1"/>
  <c r="K612" i="2"/>
  <c r="J616" i="1"/>
  <c r="K428" i="3"/>
  <c r="K474" i="3"/>
  <c r="P122" i="4"/>
  <c r="K398" i="4"/>
  <c r="O406" i="4"/>
  <c r="J595" i="1"/>
  <c r="K631" i="4"/>
  <c r="N222" i="5"/>
  <c r="N220" i="5" s="1"/>
  <c r="P220" i="5" s="1"/>
  <c r="K328" i="5"/>
  <c r="O404" i="5"/>
  <c r="K421" i="5"/>
  <c r="K429" i="5"/>
  <c r="K455" i="5"/>
  <c r="O564" i="5"/>
  <c r="N142" i="6"/>
  <c r="N140" i="6" s="1"/>
  <c r="P140" i="6" s="1"/>
  <c r="K304" i="6"/>
  <c r="K345" i="6"/>
  <c r="O404" i="6"/>
  <c r="O597" i="6"/>
  <c r="J608" i="1"/>
  <c r="J613" i="1"/>
  <c r="J621" i="1"/>
  <c r="I625" i="1"/>
  <c r="K629" i="6"/>
  <c r="K110" i="7"/>
  <c r="L144" i="7"/>
  <c r="O144" i="7" s="1"/>
  <c r="L275" i="7"/>
  <c r="O275" i="7" s="1"/>
  <c r="K449" i="7"/>
  <c r="J671" i="7"/>
  <c r="K176" i="8"/>
  <c r="O347" i="8"/>
  <c r="O535" i="8"/>
  <c r="N32" i="8"/>
  <c r="N30" i="8" s="1"/>
  <c r="K635" i="8"/>
  <c r="N331" i="9"/>
  <c r="N31" i="9"/>
  <c r="N29" i="9" s="1"/>
  <c r="K396" i="9"/>
  <c r="K401" i="9"/>
  <c r="K270" i="10"/>
  <c r="P275" i="10"/>
  <c r="O459" i="10"/>
  <c r="O353" i="13"/>
  <c r="L33" i="13"/>
  <c r="O33" i="13" s="1"/>
  <c r="O535" i="18"/>
  <c r="L32" i="18"/>
  <c r="L30" i="18" s="1"/>
  <c r="K82" i="11"/>
  <c r="K628" i="11"/>
  <c r="O597" i="12"/>
  <c r="J651" i="12"/>
  <c r="K381" i="13"/>
  <c r="O385" i="13"/>
  <c r="K416" i="13"/>
  <c r="K466" i="13"/>
  <c r="O568" i="13"/>
  <c r="J651" i="13"/>
  <c r="K380" i="14"/>
  <c r="K465" i="14"/>
  <c r="J651" i="14"/>
  <c r="K93" i="15"/>
  <c r="P98" i="15"/>
  <c r="L144" i="15"/>
  <c r="L142" i="15" s="1"/>
  <c r="L140" i="15" s="1"/>
  <c r="K376" i="15"/>
  <c r="O380" i="15"/>
  <c r="K465" i="15"/>
  <c r="K499" i="15"/>
  <c r="K589" i="15"/>
  <c r="K597" i="15"/>
  <c r="L122" i="16"/>
  <c r="O122" i="16" s="1"/>
  <c r="L144" i="16"/>
  <c r="L142" i="16" s="1"/>
  <c r="N312" i="16"/>
  <c r="N310" i="16" s="1"/>
  <c r="K349" i="16"/>
  <c r="O352" i="16"/>
  <c r="O537" i="16"/>
  <c r="K85" i="17"/>
  <c r="O102" i="17"/>
  <c r="K229" i="17"/>
  <c r="K264" i="17"/>
  <c r="L333" i="17"/>
  <c r="O333" i="17" s="1"/>
  <c r="O349" i="17"/>
  <c r="K464" i="17"/>
  <c r="K589" i="17"/>
  <c r="L144" i="18"/>
  <c r="O144" i="18" s="1"/>
  <c r="K375" i="18"/>
  <c r="O401" i="18"/>
  <c r="K418" i="18"/>
  <c r="K422" i="18"/>
  <c r="K426" i="18"/>
  <c r="K595" i="18"/>
  <c r="K631" i="18"/>
  <c r="K64" i="19"/>
  <c r="K345" i="19"/>
  <c r="O349" i="19"/>
  <c r="I367" i="19"/>
  <c r="K367" i="19" s="1"/>
  <c r="K396" i="19"/>
  <c r="K417" i="19"/>
  <c r="K425" i="19"/>
  <c r="K547" i="19"/>
  <c r="L98" i="20"/>
  <c r="L96" i="20" s="1"/>
  <c r="K158" i="20"/>
  <c r="K176" i="20"/>
  <c r="K186" i="20"/>
  <c r="L275" i="20"/>
  <c r="O275" i="20" s="1"/>
  <c r="K285" i="20"/>
  <c r="K426" i="20"/>
  <c r="K430" i="20"/>
  <c r="K176" i="21"/>
  <c r="K186" i="21"/>
  <c r="K418" i="21"/>
  <c r="K426" i="21"/>
  <c r="K465" i="21"/>
  <c r="K481" i="21"/>
  <c r="O564" i="21"/>
  <c r="O582" i="21"/>
  <c r="K629" i="21"/>
  <c r="P98" i="11"/>
  <c r="K117" i="11"/>
  <c r="L144" i="11"/>
  <c r="O144" i="11" s="1"/>
  <c r="K229" i="11"/>
  <c r="K499" i="11"/>
  <c r="K421" i="12"/>
  <c r="K619" i="12"/>
  <c r="O49" i="13"/>
  <c r="L57" i="13"/>
  <c r="L55" i="13" s="1"/>
  <c r="L122" i="13"/>
  <c r="O122" i="13" s="1"/>
  <c r="K164" i="13"/>
  <c r="K201" i="13"/>
  <c r="K340" i="13"/>
  <c r="K449" i="13"/>
  <c r="K498" i="13"/>
  <c r="O582" i="13"/>
  <c r="O599" i="13"/>
  <c r="K633" i="13"/>
  <c r="K350" i="14"/>
  <c r="L34" i="14"/>
  <c r="O380" i="14"/>
  <c r="K398" i="14"/>
  <c r="K423" i="14"/>
  <c r="O584" i="14"/>
  <c r="L33" i="16"/>
  <c r="O33" i="16" s="1"/>
  <c r="N31" i="18"/>
  <c r="N29" i="18" s="1"/>
  <c r="K340" i="11"/>
  <c r="K349" i="11"/>
  <c r="K580" i="11"/>
  <c r="K85" i="12"/>
  <c r="N312" i="12"/>
  <c r="N310" i="12" s="1"/>
  <c r="K422" i="12"/>
  <c r="K426" i="12"/>
  <c r="J623" i="1"/>
  <c r="K108" i="13"/>
  <c r="K560" i="13"/>
  <c r="O535" i="14"/>
  <c r="K573" i="14"/>
  <c r="O601" i="14"/>
  <c r="K88" i="15"/>
  <c r="K419" i="15"/>
  <c r="K427" i="15"/>
  <c r="O435" i="15"/>
  <c r="K481" i="15"/>
  <c r="O580" i="15"/>
  <c r="O584" i="15"/>
  <c r="K158" i="16"/>
  <c r="K341" i="16"/>
  <c r="K345" i="16"/>
  <c r="O459" i="16"/>
  <c r="K473" i="16"/>
  <c r="N31" i="16"/>
  <c r="N11" i="16" s="1"/>
  <c r="N9" i="16" s="1"/>
  <c r="K547" i="16"/>
  <c r="K612" i="16"/>
  <c r="N26" i="17"/>
  <c r="N16" i="17" s="1"/>
  <c r="K110" i="17"/>
  <c r="L314" i="17"/>
  <c r="O314" i="17" s="1"/>
  <c r="K372" i="17"/>
  <c r="N32" i="17"/>
  <c r="N30" i="17" s="1"/>
  <c r="K397" i="17"/>
  <c r="O401" i="17"/>
  <c r="O535" i="17"/>
  <c r="K631" i="17"/>
  <c r="N142" i="18"/>
  <c r="N140" i="18" s="1"/>
  <c r="L294" i="18"/>
  <c r="L292" i="18" s="1"/>
  <c r="O292" i="18" s="1"/>
  <c r="O648" i="18"/>
  <c r="L45" i="19"/>
  <c r="O45" i="19" s="1"/>
  <c r="K200" i="19"/>
  <c r="K375" i="19"/>
  <c r="K380" i="19"/>
  <c r="O455" i="19"/>
  <c r="K564" i="19"/>
  <c r="K635" i="19"/>
  <c r="K199" i="20"/>
  <c r="K267" i="20"/>
  <c r="L314" i="20"/>
  <c r="O314" i="20" s="1"/>
  <c r="O354" i="20"/>
  <c r="K368" i="20"/>
  <c r="O435" i="20"/>
  <c r="O459" i="20"/>
  <c r="K573" i="20"/>
  <c r="K595" i="20"/>
  <c r="K613" i="20"/>
  <c r="K635" i="20"/>
  <c r="O648" i="20"/>
  <c r="K109" i="21"/>
  <c r="K204" i="21"/>
  <c r="N34" i="21"/>
  <c r="N14" i="21" s="1"/>
  <c r="K630" i="21"/>
  <c r="L57" i="11"/>
  <c r="O57" i="11" s="1"/>
  <c r="K270" i="12"/>
  <c r="K350" i="12"/>
  <c r="K580" i="12"/>
  <c r="K593" i="12"/>
  <c r="K612" i="12"/>
  <c r="K109" i="13"/>
  <c r="K149" i="13"/>
  <c r="K219" i="13"/>
  <c r="K499" i="13"/>
  <c r="O551" i="13"/>
  <c r="O566" i="13"/>
  <c r="P98" i="14"/>
  <c r="K189" i="14"/>
  <c r="K200" i="14"/>
  <c r="K270" i="14"/>
  <c r="K482" i="14"/>
  <c r="O564" i="14"/>
  <c r="O568" i="14"/>
  <c r="K149" i="15"/>
  <c r="K396" i="15"/>
  <c r="O457" i="15"/>
  <c r="K631" i="15"/>
  <c r="N644" i="15"/>
  <c r="N640" i="15" s="1"/>
  <c r="N638" i="15" s="1"/>
  <c r="N636" i="15" s="1"/>
  <c r="M120" i="16"/>
  <c r="P120" i="16" s="1"/>
  <c r="K149" i="16"/>
  <c r="P337" i="16"/>
  <c r="L34" i="16"/>
  <c r="K368" i="16"/>
  <c r="O380" i="16"/>
  <c r="K474" i="16"/>
  <c r="O535" i="16"/>
  <c r="O580" i="16"/>
  <c r="P70" i="17"/>
  <c r="P98" i="17"/>
  <c r="K117" i="17"/>
  <c r="K343" i="17"/>
  <c r="K474" i="17"/>
  <c r="K482" i="17"/>
  <c r="K416" i="18"/>
  <c r="K424" i="18"/>
  <c r="O347" i="19"/>
  <c r="K264" i="20"/>
  <c r="O385" i="20"/>
  <c r="K482" i="20"/>
  <c r="K110" i="21"/>
  <c r="K189" i="21"/>
  <c r="K200" i="21"/>
  <c r="K216" i="21"/>
  <c r="K235" i="21"/>
  <c r="K264" i="21"/>
  <c r="O584" i="21"/>
  <c r="K628" i="10"/>
  <c r="L224" i="11"/>
  <c r="L222" i="11" s="1"/>
  <c r="L333" i="11"/>
  <c r="L331" i="11" s="1"/>
  <c r="K398" i="11"/>
  <c r="K402" i="11"/>
  <c r="K481" i="11"/>
  <c r="O385" i="12"/>
  <c r="N33" i="13"/>
  <c r="N13" i="13" s="1"/>
  <c r="M96" i="16"/>
  <c r="P96" i="16" s="1"/>
  <c r="K219" i="18"/>
  <c r="N43" i="19"/>
  <c r="N41" i="19" s="1"/>
  <c r="N120" i="21"/>
  <c r="N118" i="21" s="1"/>
  <c r="N273" i="11"/>
  <c r="N271" i="11" s="1"/>
  <c r="O337" i="11"/>
  <c r="N31" i="12"/>
  <c r="N11" i="12" s="1"/>
  <c r="N9" i="12" s="1"/>
  <c r="N34" i="12"/>
  <c r="N14" i="12" s="1"/>
  <c r="K564" i="12"/>
  <c r="O580" i="12"/>
  <c r="O584" i="12"/>
  <c r="N34" i="13"/>
  <c r="N14" i="13" s="1"/>
  <c r="K398" i="13"/>
  <c r="K402" i="13"/>
  <c r="O406" i="13"/>
  <c r="K564" i="13"/>
  <c r="K81" i="14"/>
  <c r="K85" i="14"/>
  <c r="K164" i="14"/>
  <c r="K328" i="14"/>
  <c r="K417" i="14"/>
  <c r="K464" i="14"/>
  <c r="O599" i="14"/>
  <c r="N43" i="15"/>
  <c r="N41" i="15" s="1"/>
  <c r="K204" i="15"/>
  <c r="K235" i="15"/>
  <c r="L254" i="15"/>
  <c r="L252" i="15" s="1"/>
  <c r="K380" i="15"/>
  <c r="K397" i="15"/>
  <c r="O401" i="15"/>
  <c r="K464" i="15"/>
  <c r="O564" i="15"/>
  <c r="O568" i="15"/>
  <c r="K343" i="16"/>
  <c r="K108" i="17"/>
  <c r="K424" i="17"/>
  <c r="O537" i="17"/>
  <c r="K328" i="18"/>
  <c r="K340" i="18"/>
  <c r="K474" i="18"/>
  <c r="K573" i="18"/>
  <c r="O597" i="18"/>
  <c r="K81" i="19"/>
  <c r="N331" i="19"/>
  <c r="N329" i="19" s="1"/>
  <c r="K432" i="19"/>
  <c r="K185" i="20"/>
  <c r="O437" i="20"/>
  <c r="K499" i="20"/>
  <c r="O649" i="20"/>
  <c r="J671" i="20"/>
  <c r="K671" i="20" s="1"/>
  <c r="N32" i="21"/>
  <c r="N30" i="21" s="1"/>
  <c r="P57" i="21"/>
  <c r="K93" i="21"/>
  <c r="K111" i="21"/>
  <c r="K164" i="21"/>
  <c r="K328" i="21"/>
  <c r="O383" i="21"/>
  <c r="K450" i="21"/>
  <c r="K455" i="21"/>
  <c r="K616" i="21"/>
  <c r="K628" i="21"/>
  <c r="N34" i="11"/>
  <c r="N14" i="11" s="1"/>
  <c r="M55" i="12"/>
  <c r="M53" i="12" s="1"/>
  <c r="N68" i="12"/>
  <c r="N66" i="12" s="1"/>
  <c r="P333" i="12"/>
  <c r="K340" i="12"/>
  <c r="K349" i="12"/>
  <c r="K424" i="12"/>
  <c r="N68" i="13"/>
  <c r="N66" i="13" s="1"/>
  <c r="K612" i="13"/>
  <c r="L26" i="14"/>
  <c r="L16" i="14" s="1"/>
  <c r="N222" i="15"/>
  <c r="N220" i="15" s="1"/>
  <c r="N142" i="16"/>
  <c r="N140" i="16" s="1"/>
  <c r="P140" i="16" s="1"/>
  <c r="N55" i="18"/>
  <c r="N53" i="18" s="1"/>
  <c r="N55" i="19"/>
  <c r="P55" i="19" s="1"/>
  <c r="N96" i="20"/>
  <c r="N94" i="20" s="1"/>
  <c r="M222" i="20"/>
  <c r="M220" i="20" s="1"/>
  <c r="L26" i="21"/>
  <c r="L16" i="21" s="1"/>
  <c r="N55" i="21"/>
  <c r="N53" i="21" s="1"/>
  <c r="I346" i="1"/>
  <c r="K346" i="1" s="1"/>
  <c r="O671" i="2"/>
  <c r="L671" i="1"/>
  <c r="K592" i="3"/>
  <c r="I592" i="1"/>
  <c r="K592" i="1" s="1"/>
  <c r="K629" i="4"/>
  <c r="K633" i="4"/>
  <c r="I633" i="1"/>
  <c r="O649" i="4"/>
  <c r="L649" i="1"/>
  <c r="O651" i="4"/>
  <c r="L651" i="1"/>
  <c r="M22" i="5"/>
  <c r="M12" i="5" s="1"/>
  <c r="O455" i="5"/>
  <c r="O384" i="6"/>
  <c r="L33" i="6"/>
  <c r="O33" i="6" s="1"/>
  <c r="I421" i="1"/>
  <c r="I500" i="1"/>
  <c r="K500" i="1" s="1"/>
  <c r="L551" i="1"/>
  <c r="I560" i="1"/>
  <c r="L23" i="5"/>
  <c r="O23" i="5" s="1"/>
  <c r="O353" i="7"/>
  <c r="L33" i="7"/>
  <c r="O33" i="7" s="1"/>
  <c r="O650" i="7"/>
  <c r="L650" i="1"/>
  <c r="L32" i="8"/>
  <c r="O553" i="8"/>
  <c r="O552" i="9"/>
  <c r="L552" i="1"/>
  <c r="O552" i="1" s="1"/>
  <c r="K650" i="10"/>
  <c r="I650" i="1"/>
  <c r="K628" i="12"/>
  <c r="J628" i="1"/>
  <c r="M222" i="13"/>
  <c r="M220" i="13" s="1"/>
  <c r="P224" i="13"/>
  <c r="O566" i="15"/>
  <c r="L32" i="15"/>
  <c r="P254" i="4"/>
  <c r="M252" i="4"/>
  <c r="P252" i="4" s="1"/>
  <c r="I417" i="1"/>
  <c r="I547" i="1"/>
  <c r="K594" i="2"/>
  <c r="I594" i="1"/>
  <c r="K594" i="1" s="1"/>
  <c r="K229" i="3"/>
  <c r="N32" i="5"/>
  <c r="N30" i="5" s="1"/>
  <c r="N566" i="1"/>
  <c r="M312" i="7"/>
  <c r="P312" i="7" s="1"/>
  <c r="P314" i="7"/>
  <c r="I267" i="1"/>
  <c r="L32" i="3"/>
  <c r="L30" i="3" s="1"/>
  <c r="O352" i="3"/>
  <c r="O385" i="5"/>
  <c r="L34" i="5"/>
  <c r="O403" i="5"/>
  <c r="L31" i="5"/>
  <c r="K663" i="6"/>
  <c r="I663" i="1"/>
  <c r="I229" i="1"/>
  <c r="I506" i="1"/>
  <c r="K506" i="1" s="1"/>
  <c r="I580" i="1"/>
  <c r="L668" i="1"/>
  <c r="O668" i="1" s="1"/>
  <c r="O583" i="4"/>
  <c r="L583" i="1"/>
  <c r="O583" i="1" s="1"/>
  <c r="L23" i="7"/>
  <c r="O23" i="7" s="1"/>
  <c r="I401" i="1"/>
  <c r="N554" i="1"/>
  <c r="K650" i="3"/>
  <c r="J650" i="1"/>
  <c r="J653" i="1"/>
  <c r="O661" i="3"/>
  <c r="L640" i="3"/>
  <c r="L638" i="3" s="1"/>
  <c r="L636" i="3" s="1"/>
  <c r="L661" i="1"/>
  <c r="J676" i="1"/>
  <c r="O436" i="4"/>
  <c r="L31" i="4"/>
  <c r="L11" i="4" s="1"/>
  <c r="K633" i="6"/>
  <c r="J633" i="1"/>
  <c r="I80" i="1"/>
  <c r="L145" i="1"/>
  <c r="L534" i="1"/>
  <c r="O534" i="1" s="1"/>
  <c r="O536" i="4"/>
  <c r="L33" i="4"/>
  <c r="O33" i="4" s="1"/>
  <c r="L32" i="5"/>
  <c r="L30" i="5" s="1"/>
  <c r="K578" i="6"/>
  <c r="I578" i="1"/>
  <c r="K578" i="1" s="1"/>
  <c r="K591" i="6"/>
  <c r="I591" i="1"/>
  <c r="K189" i="2"/>
  <c r="N252" i="2"/>
  <c r="N250" i="2" s="1"/>
  <c r="K306" i="2"/>
  <c r="O337" i="2"/>
  <c r="N458" i="1"/>
  <c r="K92" i="3"/>
  <c r="K110" i="3"/>
  <c r="N292" i="3"/>
  <c r="N290" i="3" s="1"/>
  <c r="N331" i="3"/>
  <c r="N329" i="3" s="1"/>
  <c r="K497" i="3"/>
  <c r="O597" i="3"/>
  <c r="K631" i="3"/>
  <c r="O665" i="3"/>
  <c r="K117" i="4"/>
  <c r="K343" i="4"/>
  <c r="L24" i="5"/>
  <c r="O24" i="5" s="1"/>
  <c r="L70" i="5"/>
  <c r="K80" i="5"/>
  <c r="K84" i="5"/>
  <c r="K108" i="5"/>
  <c r="K265" i="5"/>
  <c r="O337" i="5"/>
  <c r="O349" i="5"/>
  <c r="K431" i="5"/>
  <c r="O439" i="5"/>
  <c r="K464" i="5"/>
  <c r="K482" i="5"/>
  <c r="K564" i="5"/>
  <c r="O566" i="5"/>
  <c r="O597" i="5"/>
  <c r="O601" i="5"/>
  <c r="N26" i="6"/>
  <c r="N16" i="6" s="1"/>
  <c r="K110" i="6"/>
  <c r="K328" i="6"/>
  <c r="K372" i="6"/>
  <c r="K376" i="6"/>
  <c r="K397" i="6"/>
  <c r="O553" i="6"/>
  <c r="L640" i="6"/>
  <c r="L638" i="6" s="1"/>
  <c r="N22" i="7"/>
  <c r="L70" i="7"/>
  <c r="O70" i="7" s="1"/>
  <c r="K186" i="7"/>
  <c r="K219" i="7"/>
  <c r="P70" i="8"/>
  <c r="M68" i="8"/>
  <c r="M66" i="8" s="1"/>
  <c r="P333" i="8"/>
  <c r="N331" i="8"/>
  <c r="N329" i="8" s="1"/>
  <c r="N22" i="8"/>
  <c r="K345" i="9"/>
  <c r="P294" i="18"/>
  <c r="M292" i="18"/>
  <c r="M290" i="18" s="1"/>
  <c r="P290" i="18" s="1"/>
  <c r="P45" i="2"/>
  <c r="M55" i="2"/>
  <c r="M53" i="2" s="1"/>
  <c r="M68" i="2"/>
  <c r="P68" i="2" s="1"/>
  <c r="K158" i="2"/>
  <c r="K350" i="2"/>
  <c r="J482" i="1"/>
  <c r="O597" i="2"/>
  <c r="K633" i="2"/>
  <c r="K649" i="2"/>
  <c r="L57" i="3"/>
  <c r="O57" i="3" s="1"/>
  <c r="K345" i="3"/>
  <c r="O435" i="3"/>
  <c r="K617" i="3"/>
  <c r="K132" i="4"/>
  <c r="K235" i="4"/>
  <c r="K380" i="4"/>
  <c r="O383" i="4"/>
  <c r="K401" i="4"/>
  <c r="K421" i="4"/>
  <c r="K473" i="4"/>
  <c r="K533" i="4"/>
  <c r="K416" i="5"/>
  <c r="K424" i="5"/>
  <c r="K449" i="5"/>
  <c r="O537" i="5"/>
  <c r="K270" i="6"/>
  <c r="O455" i="6"/>
  <c r="O537" i="6"/>
  <c r="K595" i="6"/>
  <c r="K630" i="6"/>
  <c r="K634" i="6"/>
  <c r="J671" i="6"/>
  <c r="L57" i="7"/>
  <c r="O57" i="7" s="1"/>
  <c r="K113" i="7"/>
  <c r="M312" i="8"/>
  <c r="P312" i="8" s="1"/>
  <c r="P314" i="8"/>
  <c r="L23" i="2"/>
  <c r="O23" i="2" s="1"/>
  <c r="K133" i="2"/>
  <c r="K340" i="2"/>
  <c r="K343" i="2"/>
  <c r="O347" i="2"/>
  <c r="K372" i="2"/>
  <c r="O401" i="2"/>
  <c r="K426" i="2"/>
  <c r="O437" i="2"/>
  <c r="K466" i="2"/>
  <c r="K498" i="2"/>
  <c r="J663" i="1"/>
  <c r="N222" i="3"/>
  <c r="N220" i="3" s="1"/>
  <c r="O337" i="3"/>
  <c r="K619" i="4"/>
  <c r="K614" i="4"/>
  <c r="J651" i="4"/>
  <c r="K189" i="5"/>
  <c r="P275" i="7"/>
  <c r="M273" i="7"/>
  <c r="P273" i="7" s="1"/>
  <c r="O439" i="9"/>
  <c r="L34" i="9"/>
  <c r="K265" i="2"/>
  <c r="P275" i="2"/>
  <c r="K309" i="2"/>
  <c r="L333" i="2"/>
  <c r="L331" i="2" s="1"/>
  <c r="L329" i="2" s="1"/>
  <c r="O380" i="2"/>
  <c r="K435" i="2"/>
  <c r="N443" i="1"/>
  <c r="N552" i="1"/>
  <c r="O582" i="2"/>
  <c r="J617" i="1"/>
  <c r="J659" i="1"/>
  <c r="K665" i="2"/>
  <c r="P45" i="3"/>
  <c r="L98" i="3"/>
  <c r="O98" i="3" s="1"/>
  <c r="K112" i="3"/>
  <c r="K270" i="3"/>
  <c r="K375" i="3"/>
  <c r="K417" i="3"/>
  <c r="K449" i="3"/>
  <c r="O566" i="3"/>
  <c r="O599" i="3"/>
  <c r="N26" i="4"/>
  <c r="N16" i="4" s="1"/>
  <c r="L294" i="4"/>
  <c r="O294" i="4" s="1"/>
  <c r="O401" i="4"/>
  <c r="K422" i="4"/>
  <c r="K426" i="4"/>
  <c r="O599" i="4"/>
  <c r="K634" i="4"/>
  <c r="J671" i="4"/>
  <c r="K110" i="5"/>
  <c r="K113" i="5"/>
  <c r="K164" i="5"/>
  <c r="N292" i="5"/>
  <c r="N290" i="5" s="1"/>
  <c r="N331" i="5"/>
  <c r="K396" i="5"/>
  <c r="O437" i="5"/>
  <c r="K473" i="5"/>
  <c r="P102" i="6"/>
  <c r="K306" i="6"/>
  <c r="O349" i="6"/>
  <c r="N32" i="6"/>
  <c r="N30" i="6" s="1"/>
  <c r="K430" i="6"/>
  <c r="K498" i="6"/>
  <c r="K547" i="6"/>
  <c r="K631" i="6"/>
  <c r="K635" i="6"/>
  <c r="K665" i="6"/>
  <c r="N120" i="7"/>
  <c r="N118" i="7" s="1"/>
  <c r="K189" i="7"/>
  <c r="K235" i="7"/>
  <c r="N68" i="2"/>
  <c r="N66" i="2" s="1"/>
  <c r="N273" i="2"/>
  <c r="N271" i="2" s="1"/>
  <c r="J506" i="1"/>
  <c r="J550" i="1"/>
  <c r="J634" i="1"/>
  <c r="N252" i="6"/>
  <c r="N250" i="6" s="1"/>
  <c r="O385" i="8"/>
  <c r="L34" i="8"/>
  <c r="M43" i="12"/>
  <c r="M41" i="12" s="1"/>
  <c r="P45" i="12"/>
  <c r="L70" i="2"/>
  <c r="O70" i="2" s="1"/>
  <c r="K270" i="2"/>
  <c r="L275" i="2"/>
  <c r="O275" i="2" s="1"/>
  <c r="L294" i="2"/>
  <c r="O294" i="2" s="1"/>
  <c r="K304" i="2"/>
  <c r="K370" i="2"/>
  <c r="K381" i="2"/>
  <c r="O385" i="2"/>
  <c r="O406" i="2"/>
  <c r="J427" i="1"/>
  <c r="O537" i="2"/>
  <c r="K589" i="2"/>
  <c r="K109" i="3"/>
  <c r="L144" i="3"/>
  <c r="O144" i="3" s="1"/>
  <c r="K189" i="3"/>
  <c r="K200" i="3"/>
  <c r="O354" i="3"/>
  <c r="K380" i="3"/>
  <c r="O580" i="3"/>
  <c r="N222" i="4"/>
  <c r="N220" i="4" s="1"/>
  <c r="K402" i="4"/>
  <c r="K464" i="4"/>
  <c r="K547" i="4"/>
  <c r="N644" i="4"/>
  <c r="N640" i="4" s="1"/>
  <c r="N638" i="4" s="1"/>
  <c r="N636" i="4" s="1"/>
  <c r="P98" i="5"/>
  <c r="K341" i="5"/>
  <c r="K435" i="5"/>
  <c r="K629" i="5"/>
  <c r="L45" i="6"/>
  <c r="O45" i="6" s="1"/>
  <c r="N55" i="6"/>
  <c r="N53" i="6" s="1"/>
  <c r="O102" i="6"/>
  <c r="L254" i="6"/>
  <c r="O254" i="6" s="1"/>
  <c r="K401" i="6"/>
  <c r="K473" i="6"/>
  <c r="K589" i="6"/>
  <c r="K628" i="6"/>
  <c r="O665" i="6"/>
  <c r="K158" i="7"/>
  <c r="N32" i="2"/>
  <c r="N30" i="2" s="1"/>
  <c r="O568" i="2"/>
  <c r="O584" i="2"/>
  <c r="K398" i="3"/>
  <c r="K450" i="3"/>
  <c r="O597" i="4"/>
  <c r="P314" i="5"/>
  <c r="O457" i="6"/>
  <c r="N68" i="7"/>
  <c r="N66" i="7" s="1"/>
  <c r="K416" i="7"/>
  <c r="K428" i="7"/>
  <c r="O455" i="7"/>
  <c r="K497" i="7"/>
  <c r="O537" i="7"/>
  <c r="K551" i="7"/>
  <c r="O582" i="7"/>
  <c r="K632" i="7"/>
  <c r="K158" i="8"/>
  <c r="K235" i="8"/>
  <c r="K428" i="8"/>
  <c r="K473" i="8"/>
  <c r="K498" i="8"/>
  <c r="K573" i="8"/>
  <c r="K591" i="8"/>
  <c r="K634" i="8"/>
  <c r="J671" i="8"/>
  <c r="P45" i="9"/>
  <c r="K158" i="9"/>
  <c r="K416" i="9"/>
  <c r="O435" i="9"/>
  <c r="O459" i="9"/>
  <c r="K164" i="10"/>
  <c r="K185" i="10"/>
  <c r="K345" i="10"/>
  <c r="K397" i="10"/>
  <c r="K635" i="10"/>
  <c r="K200" i="11"/>
  <c r="K430" i="11"/>
  <c r="O535" i="11"/>
  <c r="M68" i="12"/>
  <c r="M66" i="12" s="1"/>
  <c r="K81" i="12"/>
  <c r="K368" i="12"/>
  <c r="K375" i="12"/>
  <c r="K397" i="12"/>
  <c r="O401" i="12"/>
  <c r="K499" i="12"/>
  <c r="K624" i="12"/>
  <c r="K625" i="12"/>
  <c r="K620" i="12"/>
  <c r="K176" i="13"/>
  <c r="K186" i="13"/>
  <c r="O599" i="16"/>
  <c r="L32" i="16"/>
  <c r="L30" i="16" s="1"/>
  <c r="P254" i="21"/>
  <c r="M252" i="21"/>
  <c r="M250" i="21" s="1"/>
  <c r="K369" i="21"/>
  <c r="I367" i="21"/>
  <c r="K367" i="21" s="1"/>
  <c r="L314" i="7"/>
  <c r="O314" i="7" s="1"/>
  <c r="K432" i="7"/>
  <c r="K498" i="7"/>
  <c r="K547" i="7"/>
  <c r="K629" i="7"/>
  <c r="K633" i="7"/>
  <c r="N55" i="8"/>
  <c r="N53" i="8" s="1"/>
  <c r="K229" i="8"/>
  <c r="L254" i="8"/>
  <c r="L252" i="8" s="1"/>
  <c r="L250" i="8" s="1"/>
  <c r="K264" i="8"/>
  <c r="K345" i="8"/>
  <c r="K349" i="8"/>
  <c r="K370" i="8"/>
  <c r="K449" i="8"/>
  <c r="O533" i="8"/>
  <c r="K615" i="8"/>
  <c r="K631" i="8"/>
  <c r="P57" i="9"/>
  <c r="P70" i="9"/>
  <c r="M96" i="9"/>
  <c r="M94" i="9" s="1"/>
  <c r="K149" i="9"/>
  <c r="K432" i="9"/>
  <c r="K473" i="9"/>
  <c r="K533" i="9"/>
  <c r="K634" i="9"/>
  <c r="J651" i="9"/>
  <c r="K86" i="10"/>
  <c r="K176" i="10"/>
  <c r="K186" i="10"/>
  <c r="L294" i="10"/>
  <c r="O294" i="10" s="1"/>
  <c r="L314" i="10"/>
  <c r="O314" i="10" s="1"/>
  <c r="K350" i="10"/>
  <c r="O380" i="10"/>
  <c r="O437" i="10"/>
  <c r="O599" i="10"/>
  <c r="N55" i="11"/>
  <c r="N53" i="11" s="1"/>
  <c r="L70" i="11"/>
  <c r="L68" i="11" s="1"/>
  <c r="L98" i="11"/>
  <c r="O98" i="11" s="1"/>
  <c r="K108" i="11"/>
  <c r="L122" i="11"/>
  <c r="O122" i="11" s="1"/>
  <c r="K185" i="11"/>
  <c r="K285" i="11"/>
  <c r="I367" i="11"/>
  <c r="K367" i="11" s="1"/>
  <c r="O406" i="11"/>
  <c r="K427" i="11"/>
  <c r="K564" i="11"/>
  <c r="O580" i="11"/>
  <c r="O584" i="11"/>
  <c r="L23" i="12"/>
  <c r="O23" i="12" s="1"/>
  <c r="N120" i="12"/>
  <c r="N118" i="12" s="1"/>
  <c r="K199" i="12"/>
  <c r="L254" i="12"/>
  <c r="O254" i="12" s="1"/>
  <c r="K418" i="12"/>
  <c r="K425" i="12"/>
  <c r="K432" i="12"/>
  <c r="K481" i="12"/>
  <c r="O354" i="13"/>
  <c r="L34" i="13"/>
  <c r="N32" i="13"/>
  <c r="N30" i="13" s="1"/>
  <c r="N31" i="13"/>
  <c r="N29" i="13" s="1"/>
  <c r="N252" i="15"/>
  <c r="P252" i="15" s="1"/>
  <c r="P254" i="15"/>
  <c r="N292" i="7"/>
  <c r="N290" i="7" s="1"/>
  <c r="O437" i="7"/>
  <c r="K132" i="8"/>
  <c r="L314" i="8"/>
  <c r="L312" i="8" s="1"/>
  <c r="O312" i="8" s="1"/>
  <c r="M337" i="8"/>
  <c r="P337" i="8" s="1"/>
  <c r="K429" i="8"/>
  <c r="O437" i="8"/>
  <c r="K481" i="8"/>
  <c r="O564" i="8"/>
  <c r="K626" i="8"/>
  <c r="N96" i="9"/>
  <c r="N94" i="9" s="1"/>
  <c r="N34" i="9"/>
  <c r="N14" i="9" s="1"/>
  <c r="K617" i="9"/>
  <c r="P254" i="11"/>
  <c r="K624" i="11"/>
  <c r="N96" i="12"/>
  <c r="N94" i="12" s="1"/>
  <c r="L45" i="14"/>
  <c r="O45" i="14" s="1"/>
  <c r="L24" i="14"/>
  <c r="O24" i="14" s="1"/>
  <c r="O352" i="15"/>
  <c r="N32" i="15"/>
  <c r="N30" i="15" s="1"/>
  <c r="K343" i="7"/>
  <c r="K377" i="7"/>
  <c r="K398" i="7"/>
  <c r="O457" i="7"/>
  <c r="K473" i="7"/>
  <c r="K64" i="8"/>
  <c r="N68" i="8"/>
  <c r="N66" i="8" s="1"/>
  <c r="N644" i="8"/>
  <c r="N640" i="8" s="1"/>
  <c r="N638" i="8" s="1"/>
  <c r="N636" i="8" s="1"/>
  <c r="K219" i="9"/>
  <c r="K398" i="9"/>
  <c r="K425" i="9"/>
  <c r="O457" i="9"/>
  <c r="O564" i="9"/>
  <c r="K377" i="10"/>
  <c r="O406" i="10"/>
  <c r="K426" i="10"/>
  <c r="K464" i="10"/>
  <c r="K593" i="10"/>
  <c r="K616" i="10"/>
  <c r="K81" i="11"/>
  <c r="K133" i="11"/>
  <c r="K328" i="11"/>
  <c r="K369" i="11"/>
  <c r="O385" i="11"/>
  <c r="L34" i="12"/>
  <c r="P57" i="13"/>
  <c r="O405" i="14"/>
  <c r="L33" i="14"/>
  <c r="O33" i="14" s="1"/>
  <c r="L23" i="17"/>
  <c r="O23" i="17" s="1"/>
  <c r="P275" i="20"/>
  <c r="M273" i="20"/>
  <c r="K82" i="8"/>
  <c r="N222" i="8"/>
  <c r="N220" i="8" s="1"/>
  <c r="L33" i="8"/>
  <c r="O33" i="8" s="1"/>
  <c r="K422" i="8"/>
  <c r="K482" i="8"/>
  <c r="K620" i="8"/>
  <c r="K628" i="8"/>
  <c r="K93" i="9"/>
  <c r="P144" i="9"/>
  <c r="K370" i="9"/>
  <c r="K430" i="9"/>
  <c r="K435" i="9"/>
  <c r="K618" i="9"/>
  <c r="K635" i="9"/>
  <c r="K65" i="10"/>
  <c r="N68" i="10"/>
  <c r="N66" i="10" s="1"/>
  <c r="K93" i="10"/>
  <c r="M96" i="10"/>
  <c r="M94" i="10" s="1"/>
  <c r="K138" i="10"/>
  <c r="L224" i="10"/>
  <c r="L222" i="10" s="1"/>
  <c r="K419" i="10"/>
  <c r="K423" i="10"/>
  <c r="K427" i="10"/>
  <c r="K431" i="10"/>
  <c r="O435" i="10"/>
  <c r="K474" i="10"/>
  <c r="O568" i="10"/>
  <c r="O597" i="10"/>
  <c r="K630" i="10"/>
  <c r="N120" i="11"/>
  <c r="N118" i="11" s="1"/>
  <c r="K149" i="11"/>
  <c r="N32" i="11"/>
  <c r="N30" i="11" s="1"/>
  <c r="K370" i="11"/>
  <c r="K396" i="11"/>
  <c r="K401" i="11"/>
  <c r="O404" i="11"/>
  <c r="K482" i="11"/>
  <c r="O568" i="11"/>
  <c r="K634" i="11"/>
  <c r="L57" i="12"/>
  <c r="O57" i="12" s="1"/>
  <c r="L70" i="12"/>
  <c r="L68" i="12" s="1"/>
  <c r="K84" i="12"/>
  <c r="K229" i="12"/>
  <c r="N273" i="12"/>
  <c r="N271" i="12" s="1"/>
  <c r="L294" i="12"/>
  <c r="O294" i="12" s="1"/>
  <c r="L333" i="12"/>
  <c r="O333" i="12" s="1"/>
  <c r="O352" i="12"/>
  <c r="K370" i="12"/>
  <c r="K430" i="12"/>
  <c r="K533" i="12"/>
  <c r="K229" i="13"/>
  <c r="N32" i="14"/>
  <c r="N30" i="14" s="1"/>
  <c r="O385" i="7"/>
  <c r="K474" i="7"/>
  <c r="O533" i="7"/>
  <c r="N644" i="7"/>
  <c r="N640" i="7" s="1"/>
  <c r="N638" i="7" s="1"/>
  <c r="N636" i="7" s="1"/>
  <c r="L144" i="8"/>
  <c r="L142" i="8" s="1"/>
  <c r="L140" i="8" s="1"/>
  <c r="L224" i="8"/>
  <c r="O224" i="8" s="1"/>
  <c r="K328" i="8"/>
  <c r="K343" i="8"/>
  <c r="O459" i="8"/>
  <c r="K465" i="8"/>
  <c r="K497" i="8"/>
  <c r="O580" i="8"/>
  <c r="O584" i="8"/>
  <c r="K624" i="8"/>
  <c r="K629" i="8"/>
  <c r="K81" i="9"/>
  <c r="K85" i="9"/>
  <c r="K189" i="9"/>
  <c r="K200" i="9"/>
  <c r="O385" i="9"/>
  <c r="N26" i="10"/>
  <c r="N16" i="10" s="1"/>
  <c r="K84" i="10"/>
  <c r="L144" i="10"/>
  <c r="O144" i="10" s="1"/>
  <c r="K235" i="10"/>
  <c r="O352" i="10"/>
  <c r="K416" i="10"/>
  <c r="K634" i="10"/>
  <c r="J651" i="10"/>
  <c r="K199" i="11"/>
  <c r="K219" i="11"/>
  <c r="K341" i="11"/>
  <c r="O349" i="11"/>
  <c r="K429" i="11"/>
  <c r="K450" i="11"/>
  <c r="O582" i="11"/>
  <c r="K618" i="11"/>
  <c r="K341" i="12"/>
  <c r="O349" i="12"/>
  <c r="K401" i="12"/>
  <c r="K420" i="12"/>
  <c r="K423" i="12"/>
  <c r="K427" i="12"/>
  <c r="K455" i="12"/>
  <c r="N644" i="16"/>
  <c r="N640" i="16" s="1"/>
  <c r="N638" i="16" s="1"/>
  <c r="N636" i="16" s="1"/>
  <c r="K547" i="13"/>
  <c r="O564" i="13"/>
  <c r="L314" i="14"/>
  <c r="O314" i="14" s="1"/>
  <c r="O354" i="14"/>
  <c r="K593" i="14"/>
  <c r="L24" i="15"/>
  <c r="O24" i="15" s="1"/>
  <c r="K416" i="15"/>
  <c r="O459" i="15"/>
  <c r="K533" i="15"/>
  <c r="O439" i="16"/>
  <c r="K92" i="17"/>
  <c r="K149" i="17"/>
  <c r="K426" i="17"/>
  <c r="O455" i="17"/>
  <c r="K199" i="19"/>
  <c r="K377" i="21"/>
  <c r="K573" i="12"/>
  <c r="M49" i="14"/>
  <c r="P49" i="14" s="1"/>
  <c r="L57" i="14"/>
  <c r="L55" i="14" s="1"/>
  <c r="L53" i="14" s="1"/>
  <c r="P144" i="14"/>
  <c r="K634" i="14"/>
  <c r="K164" i="15"/>
  <c r="K401" i="15"/>
  <c r="K420" i="15"/>
  <c r="K428" i="15"/>
  <c r="K432" i="15"/>
  <c r="O439" i="15"/>
  <c r="K173" i="16"/>
  <c r="K64" i="17"/>
  <c r="N34" i="17"/>
  <c r="N14" i="17" s="1"/>
  <c r="K423" i="18"/>
  <c r="K431" i="18"/>
  <c r="O435" i="18"/>
  <c r="K265" i="20"/>
  <c r="K270" i="20"/>
  <c r="K589" i="20"/>
  <c r="P122" i="21"/>
  <c r="M120" i="21"/>
  <c r="P120" i="21" s="1"/>
  <c r="L31" i="21"/>
  <c r="L11" i="21" s="1"/>
  <c r="O534" i="21"/>
  <c r="O439" i="12"/>
  <c r="O564" i="12"/>
  <c r="O568" i="12"/>
  <c r="N26" i="13"/>
  <c r="N16" i="13" s="1"/>
  <c r="P144" i="13"/>
  <c r="K328" i="13"/>
  <c r="P333" i="13"/>
  <c r="K427" i="13"/>
  <c r="K431" i="13"/>
  <c r="K465" i="13"/>
  <c r="K402" i="14"/>
  <c r="L33" i="15"/>
  <c r="O33" i="15" s="1"/>
  <c r="K264" i="15"/>
  <c r="K328" i="15"/>
  <c r="K375" i="15"/>
  <c r="O404" i="15"/>
  <c r="O533" i="15"/>
  <c r="L45" i="16"/>
  <c r="O45" i="16" s="1"/>
  <c r="K340" i="16"/>
  <c r="K428" i="16"/>
  <c r="K449" i="16"/>
  <c r="O554" i="16"/>
  <c r="K111" i="17"/>
  <c r="O383" i="19"/>
  <c r="L32" i="19"/>
  <c r="L30" i="19" s="1"/>
  <c r="L32" i="13"/>
  <c r="L30" i="13" s="1"/>
  <c r="N96" i="13"/>
  <c r="N94" i="13" s="1"/>
  <c r="N142" i="13"/>
  <c r="N140" i="13" s="1"/>
  <c r="O352" i="13"/>
  <c r="N34" i="14"/>
  <c r="K185" i="14"/>
  <c r="K285" i="14"/>
  <c r="K416" i="14"/>
  <c r="K427" i="14"/>
  <c r="O439" i="14"/>
  <c r="K618" i="14"/>
  <c r="L31" i="15"/>
  <c r="O31" i="15" s="1"/>
  <c r="K229" i="15"/>
  <c r="N312" i="15"/>
  <c r="N310" i="15" s="1"/>
  <c r="K372" i="15"/>
  <c r="O383" i="15"/>
  <c r="K421" i="15"/>
  <c r="K429" i="15"/>
  <c r="K449" i="15"/>
  <c r="K498" i="15"/>
  <c r="L57" i="16"/>
  <c r="O57" i="16" s="1"/>
  <c r="N273" i="16"/>
  <c r="N271" i="16" s="1"/>
  <c r="L333" i="16"/>
  <c r="L331" i="16" s="1"/>
  <c r="N32" i="16"/>
  <c r="N30" i="16" s="1"/>
  <c r="K401" i="16"/>
  <c r="K591" i="16"/>
  <c r="L45" i="17"/>
  <c r="O45" i="17" s="1"/>
  <c r="N55" i="17"/>
  <c r="N53" i="17" s="1"/>
  <c r="K65" i="17"/>
  <c r="K533" i="17"/>
  <c r="O354" i="18"/>
  <c r="K343" i="19"/>
  <c r="K449" i="12"/>
  <c r="K547" i="12"/>
  <c r="K630" i="12"/>
  <c r="K634" i="12"/>
  <c r="L98" i="13"/>
  <c r="L96" i="13" s="1"/>
  <c r="L94" i="13" s="1"/>
  <c r="K111" i="13"/>
  <c r="N120" i="13"/>
  <c r="N118" i="13" s="1"/>
  <c r="K200" i="13"/>
  <c r="L333" i="13"/>
  <c r="O333" i="13" s="1"/>
  <c r="K375" i="13"/>
  <c r="K396" i="13"/>
  <c r="K401" i="13"/>
  <c r="K432" i="13"/>
  <c r="O439" i="13"/>
  <c r="K473" i="13"/>
  <c r="K481" i="13"/>
  <c r="K533" i="13"/>
  <c r="K597" i="13"/>
  <c r="K629" i="13"/>
  <c r="N96" i="14"/>
  <c r="N94" i="14" s="1"/>
  <c r="K158" i="14"/>
  <c r="P224" i="14"/>
  <c r="L333" i="14"/>
  <c r="L331" i="14" s="1"/>
  <c r="K341" i="14"/>
  <c r="K375" i="14"/>
  <c r="K428" i="14"/>
  <c r="K432" i="14"/>
  <c r="K481" i="14"/>
  <c r="O533" i="14"/>
  <c r="K628" i="14"/>
  <c r="K632" i="14"/>
  <c r="N644" i="14"/>
  <c r="N640" i="14" s="1"/>
  <c r="N638" i="14" s="1"/>
  <c r="N636" i="14" s="1"/>
  <c r="K213" i="15"/>
  <c r="K265" i="15"/>
  <c r="O347" i="15"/>
  <c r="K435" i="15"/>
  <c r="K455" i="15"/>
  <c r="N222" i="16"/>
  <c r="N220" i="16" s="1"/>
  <c r="P314" i="16"/>
  <c r="K421" i="16"/>
  <c r="K429" i="16"/>
  <c r="O437" i="16"/>
  <c r="O601" i="16"/>
  <c r="L33" i="17"/>
  <c r="O33" i="17" s="1"/>
  <c r="L70" i="17"/>
  <c r="O70" i="17" s="1"/>
  <c r="K84" i="17"/>
  <c r="L98" i="17"/>
  <c r="L96" i="17" s="1"/>
  <c r="K265" i="17"/>
  <c r="K633" i="17"/>
  <c r="O351" i="18"/>
  <c r="L31" i="18"/>
  <c r="L29" i="18" s="1"/>
  <c r="O438" i="21"/>
  <c r="L33" i="21"/>
  <c r="O33" i="21" s="1"/>
  <c r="N292" i="13"/>
  <c r="N290" i="13" s="1"/>
  <c r="N312" i="13"/>
  <c r="N310" i="13" s="1"/>
  <c r="N43" i="14"/>
  <c r="N41" i="14" s="1"/>
  <c r="K219" i="14"/>
  <c r="N222" i="14"/>
  <c r="N220" i="14" s="1"/>
  <c r="K267" i="14"/>
  <c r="K345" i="14"/>
  <c r="K401" i="14"/>
  <c r="K449" i="14"/>
  <c r="K84" i="15"/>
  <c r="L224" i="15"/>
  <c r="O224" i="15" s="1"/>
  <c r="O597" i="15"/>
  <c r="L31" i="16"/>
  <c r="L29" i="16" s="1"/>
  <c r="O29" i="16" s="1"/>
  <c r="N55" i="16"/>
  <c r="N53" i="16" s="1"/>
  <c r="O383" i="16"/>
  <c r="K397" i="16"/>
  <c r="K499" i="16"/>
  <c r="O533" i="16"/>
  <c r="K595" i="16"/>
  <c r="L31" i="17"/>
  <c r="L29" i="17" s="1"/>
  <c r="N273" i="17"/>
  <c r="N271" i="17" s="1"/>
  <c r="N292" i="17"/>
  <c r="N290" i="17" s="1"/>
  <c r="K533" i="18"/>
  <c r="O536" i="18"/>
  <c r="L33" i="18"/>
  <c r="O33" i="18" s="1"/>
  <c r="O437" i="12"/>
  <c r="K589" i="12"/>
  <c r="K635" i="12"/>
  <c r="N22" i="13"/>
  <c r="K112" i="13"/>
  <c r="L254" i="13"/>
  <c r="O254" i="13" s="1"/>
  <c r="L294" i="13"/>
  <c r="L292" i="13" s="1"/>
  <c r="O292" i="13" s="1"/>
  <c r="K372" i="13"/>
  <c r="O383" i="13"/>
  <c r="K397" i="13"/>
  <c r="O401" i="13"/>
  <c r="K425" i="13"/>
  <c r="K429" i="13"/>
  <c r="O437" i="13"/>
  <c r="O457" i="13"/>
  <c r="K474" i="13"/>
  <c r="O533" i="13"/>
  <c r="O584" i="13"/>
  <c r="P57" i="14"/>
  <c r="K65" i="14"/>
  <c r="N312" i="14"/>
  <c r="N310" i="14" s="1"/>
  <c r="K368" i="14"/>
  <c r="K421" i="14"/>
  <c r="K425" i="14"/>
  <c r="O437" i="14"/>
  <c r="O457" i="14"/>
  <c r="K547" i="14"/>
  <c r="K580" i="14"/>
  <c r="K633" i="14"/>
  <c r="L57" i="15"/>
  <c r="L55" i="15" s="1"/>
  <c r="K111" i="15"/>
  <c r="K138" i="15"/>
  <c r="K189" i="15"/>
  <c r="K341" i="15"/>
  <c r="O455" i="15"/>
  <c r="O535" i="15"/>
  <c r="K591" i="15"/>
  <c r="N120" i="16"/>
  <c r="N118" i="16" s="1"/>
  <c r="K376" i="16"/>
  <c r="K398" i="16"/>
  <c r="K402" i="16"/>
  <c r="K426" i="16"/>
  <c r="K589" i="16"/>
  <c r="K635" i="16"/>
  <c r="J671" i="16"/>
  <c r="K113" i="17"/>
  <c r="K235" i="17"/>
  <c r="P275" i="17"/>
  <c r="K593" i="17"/>
  <c r="O568" i="19"/>
  <c r="K663" i="20"/>
  <c r="M292" i="21"/>
  <c r="P292" i="21" s="1"/>
  <c r="P294" i="21"/>
  <c r="K402" i="21"/>
  <c r="O406" i="21"/>
  <c r="K423" i="21"/>
  <c r="P337" i="17"/>
  <c r="K350" i="17"/>
  <c r="O354" i="17"/>
  <c r="K368" i="17"/>
  <c r="K375" i="17"/>
  <c r="O383" i="17"/>
  <c r="K422" i="17"/>
  <c r="K498" i="17"/>
  <c r="K573" i="17"/>
  <c r="O580" i="17"/>
  <c r="K629" i="17"/>
  <c r="N644" i="17"/>
  <c r="N640" i="17" s="1"/>
  <c r="N638" i="17" s="1"/>
  <c r="N636" i="17" s="1"/>
  <c r="L57" i="18"/>
  <c r="L55" i="18" s="1"/>
  <c r="L53" i="18" s="1"/>
  <c r="L70" i="18"/>
  <c r="L68" i="18" s="1"/>
  <c r="L66" i="18" s="1"/>
  <c r="K80" i="18"/>
  <c r="K88" i="18"/>
  <c r="K164" i="18"/>
  <c r="K185" i="18"/>
  <c r="K235" i="18"/>
  <c r="N252" i="18"/>
  <c r="N250" i="18" s="1"/>
  <c r="P333" i="18"/>
  <c r="K350" i="18"/>
  <c r="K368" i="18"/>
  <c r="O380" i="18"/>
  <c r="K398" i="18"/>
  <c r="O406" i="18"/>
  <c r="K464" i="18"/>
  <c r="K498" i="18"/>
  <c r="O555" i="18"/>
  <c r="O566" i="18"/>
  <c r="K580" i="18"/>
  <c r="J651" i="18"/>
  <c r="K149" i="19"/>
  <c r="L224" i="19"/>
  <c r="L222" i="19" s="1"/>
  <c r="L220" i="19" s="1"/>
  <c r="K350" i="19"/>
  <c r="O354" i="19"/>
  <c r="O404" i="19"/>
  <c r="K421" i="19"/>
  <c r="K449" i="19"/>
  <c r="O457" i="19"/>
  <c r="K481" i="19"/>
  <c r="O533" i="19"/>
  <c r="K83" i="20"/>
  <c r="L122" i="20"/>
  <c r="O122" i="20" s="1"/>
  <c r="K132" i="20"/>
  <c r="K164" i="20"/>
  <c r="K249" i="20"/>
  <c r="K350" i="20"/>
  <c r="O404" i="20"/>
  <c r="K425" i="20"/>
  <c r="K429" i="20"/>
  <c r="K449" i="20"/>
  <c r="O599" i="20"/>
  <c r="P333" i="21"/>
  <c r="K340" i="21"/>
  <c r="O457" i="21"/>
  <c r="K499" i="21"/>
  <c r="K376" i="17"/>
  <c r="O380" i="17"/>
  <c r="K630" i="17"/>
  <c r="M22" i="18"/>
  <c r="M12" i="18" s="1"/>
  <c r="N26" i="18"/>
  <c r="N16" i="18" s="1"/>
  <c r="K176" i="18"/>
  <c r="K186" i="18"/>
  <c r="K229" i="18"/>
  <c r="L254" i="18"/>
  <c r="O254" i="18" s="1"/>
  <c r="K381" i="18"/>
  <c r="K84" i="19"/>
  <c r="K235" i="19"/>
  <c r="M273" i="19"/>
  <c r="M271" i="19" s="1"/>
  <c r="M312" i="19"/>
  <c r="M310" i="19" s="1"/>
  <c r="P310" i="19" s="1"/>
  <c r="K340" i="19"/>
  <c r="K376" i="19"/>
  <c r="K398" i="19"/>
  <c r="N120" i="20"/>
  <c r="K219" i="20"/>
  <c r="K266" i="20"/>
  <c r="K377" i="20"/>
  <c r="K381" i="20"/>
  <c r="K435" i="20"/>
  <c r="K498" i="20"/>
  <c r="K533" i="20"/>
  <c r="K597" i="20"/>
  <c r="K630" i="20"/>
  <c r="K633" i="20"/>
  <c r="L23" i="21"/>
  <c r="O23" i="21" s="1"/>
  <c r="K341" i="21"/>
  <c r="O385" i="21"/>
  <c r="O435" i="21"/>
  <c r="O439" i="21"/>
  <c r="K547" i="21"/>
  <c r="K648" i="21"/>
  <c r="K328" i="17"/>
  <c r="K340" i="17"/>
  <c r="K349" i="17"/>
  <c r="K381" i="17"/>
  <c r="O385" i="17"/>
  <c r="K416" i="17"/>
  <c r="K420" i="17"/>
  <c r="O582" i="17"/>
  <c r="O597" i="17"/>
  <c r="O601" i="17"/>
  <c r="N43" i="18"/>
  <c r="N41" i="18" s="1"/>
  <c r="K64" i="18"/>
  <c r="N312" i="18"/>
  <c r="N310" i="18" s="1"/>
  <c r="K345" i="18"/>
  <c r="K370" i="18"/>
  <c r="O457" i="18"/>
  <c r="O564" i="18"/>
  <c r="O584" i="18"/>
  <c r="K88" i="19"/>
  <c r="L98" i="19"/>
  <c r="O98" i="19" s="1"/>
  <c r="N120" i="19"/>
  <c r="N118" i="19" s="1"/>
  <c r="K173" i="19"/>
  <c r="K189" i="19"/>
  <c r="K229" i="19"/>
  <c r="L294" i="19"/>
  <c r="O294" i="19" s="1"/>
  <c r="K349" i="19"/>
  <c r="K377" i="19"/>
  <c r="K419" i="19"/>
  <c r="K423" i="19"/>
  <c r="O459" i="19"/>
  <c r="K465" i="19"/>
  <c r="O535" i="19"/>
  <c r="J671" i="19"/>
  <c r="N22" i="20"/>
  <c r="K419" i="20"/>
  <c r="K427" i="20"/>
  <c r="O455" i="20"/>
  <c r="K465" i="20"/>
  <c r="K564" i="20"/>
  <c r="O597" i="20"/>
  <c r="O601" i="20"/>
  <c r="K108" i="21"/>
  <c r="L32" i="21"/>
  <c r="N222" i="18"/>
  <c r="N220" i="18" s="1"/>
  <c r="J671" i="18"/>
  <c r="K341" i="19"/>
  <c r="N34" i="19"/>
  <c r="N14" i="19" s="1"/>
  <c r="O551" i="21"/>
  <c r="O566" i="17"/>
  <c r="K616" i="17"/>
  <c r="L640" i="17"/>
  <c r="L638" i="17" s="1"/>
  <c r="L24" i="18"/>
  <c r="N96" i="18"/>
  <c r="N94" i="18" s="1"/>
  <c r="I367" i="18"/>
  <c r="K367" i="18" s="1"/>
  <c r="K425" i="18"/>
  <c r="K551" i="18"/>
  <c r="K624" i="18"/>
  <c r="K649" i="18"/>
  <c r="O435" i="19"/>
  <c r="K533" i="19"/>
  <c r="K629" i="19"/>
  <c r="P254" i="20"/>
  <c r="N292" i="20"/>
  <c r="N290" i="20" s="1"/>
  <c r="N312" i="20"/>
  <c r="N310" i="20" s="1"/>
  <c r="N31" i="20"/>
  <c r="N29" i="20" s="1"/>
  <c r="K113" i="21"/>
  <c r="N273" i="21"/>
  <c r="N271" i="21" s="1"/>
  <c r="O404" i="21"/>
  <c r="K498" i="21"/>
  <c r="K417" i="17"/>
  <c r="K450" i="17"/>
  <c r="K455" i="17"/>
  <c r="K564" i="17"/>
  <c r="J671" i="17"/>
  <c r="K380" i="18"/>
  <c r="K397" i="18"/>
  <c r="K430" i="18"/>
  <c r="K435" i="18"/>
  <c r="K560" i="18"/>
  <c r="O649" i="18"/>
  <c r="N644" i="18"/>
  <c r="N640" i="18" s="1"/>
  <c r="N638" i="18" s="1"/>
  <c r="N636" i="18" s="1"/>
  <c r="K176" i="19"/>
  <c r="K285" i="19"/>
  <c r="N292" i="19"/>
  <c r="N290" i="19" s="1"/>
  <c r="P337" i="19"/>
  <c r="K401" i="19"/>
  <c r="K416" i="19"/>
  <c r="K428" i="19"/>
  <c r="N33" i="19"/>
  <c r="N13" i="19" s="1"/>
  <c r="J651" i="19"/>
  <c r="O49" i="20"/>
  <c r="P57" i="20"/>
  <c r="K65" i="20"/>
  <c r="K396" i="20"/>
  <c r="K401" i="20"/>
  <c r="K428" i="20"/>
  <c r="K474" i="20"/>
  <c r="K481" i="20"/>
  <c r="K213" i="21"/>
  <c r="P224" i="21"/>
  <c r="K343" i="21"/>
  <c r="O347" i="21"/>
  <c r="K368" i="21"/>
  <c r="K397" i="21"/>
  <c r="N31" i="21"/>
  <c r="N29" i="21" s="1"/>
  <c r="P337" i="2"/>
  <c r="M26" i="2"/>
  <c r="M16" i="2" s="1"/>
  <c r="P144" i="2"/>
  <c r="K613" i="2"/>
  <c r="P224" i="3"/>
  <c r="L294" i="3"/>
  <c r="L292" i="3" s="1"/>
  <c r="O292" i="3" s="1"/>
  <c r="N312" i="3"/>
  <c r="N310" i="3" s="1"/>
  <c r="K328" i="3"/>
  <c r="L333" i="3"/>
  <c r="O333" i="3" s="1"/>
  <c r="K341" i="3"/>
  <c r="N347" i="1"/>
  <c r="J368" i="1"/>
  <c r="J413" i="1"/>
  <c r="K421" i="3"/>
  <c r="K425" i="3"/>
  <c r="J428" i="1"/>
  <c r="K473" i="3"/>
  <c r="K349" i="2"/>
  <c r="N34" i="2"/>
  <c r="N14" i="2" s="1"/>
  <c r="K428" i="2"/>
  <c r="K547" i="2"/>
  <c r="K614" i="2"/>
  <c r="J651" i="2"/>
  <c r="L70" i="3"/>
  <c r="L68" i="3" s="1"/>
  <c r="K83" i="3"/>
  <c r="N26" i="3"/>
  <c r="N16" i="3" s="1"/>
  <c r="K349" i="3"/>
  <c r="K418" i="3"/>
  <c r="N292" i="2"/>
  <c r="N290" i="2" s="1"/>
  <c r="K422" i="2"/>
  <c r="K425" i="2"/>
  <c r="N142" i="3"/>
  <c r="N140" i="3" s="1"/>
  <c r="J499" i="1"/>
  <c r="K173" i="2"/>
  <c r="K219" i="2"/>
  <c r="P224" i="2"/>
  <c r="O349" i="2"/>
  <c r="O352" i="2"/>
  <c r="K376" i="2"/>
  <c r="O383" i="2"/>
  <c r="K429" i="2"/>
  <c r="K591" i="2"/>
  <c r="K628" i="2"/>
  <c r="M22" i="3"/>
  <c r="M12" i="3" s="1"/>
  <c r="N55" i="3"/>
  <c r="P55" i="3" s="1"/>
  <c r="N68" i="3"/>
  <c r="N66" i="3" s="1"/>
  <c r="M74" i="3"/>
  <c r="P74" i="3" s="1"/>
  <c r="N252" i="3"/>
  <c r="N250" i="3" s="1"/>
  <c r="O349" i="3"/>
  <c r="N356" i="1"/>
  <c r="K370" i="3"/>
  <c r="O383" i="3"/>
  <c r="K464" i="3"/>
  <c r="J467" i="1"/>
  <c r="M331" i="2"/>
  <c r="M329" i="2" s="1"/>
  <c r="N403" i="1"/>
  <c r="L45" i="2"/>
  <c r="L43" i="2" s="1"/>
  <c r="K200" i="2"/>
  <c r="L224" i="2"/>
  <c r="L222" i="2" s="1"/>
  <c r="K264" i="2"/>
  <c r="K267" i="2"/>
  <c r="N22" i="2"/>
  <c r="K397" i="2"/>
  <c r="O404" i="2"/>
  <c r="K464" i="2"/>
  <c r="K474" i="2"/>
  <c r="O533" i="2"/>
  <c r="K632" i="2"/>
  <c r="L640" i="2"/>
  <c r="L638" i="2" s="1"/>
  <c r="K65" i="3"/>
  <c r="K81" i="3"/>
  <c r="K164" i="3"/>
  <c r="K199" i="3"/>
  <c r="K235" i="3"/>
  <c r="M312" i="3"/>
  <c r="M310" i="3" s="1"/>
  <c r="P310" i="3" s="1"/>
  <c r="J339" i="1"/>
  <c r="K377" i="3"/>
  <c r="O404" i="3"/>
  <c r="O455" i="3"/>
  <c r="I519" i="1"/>
  <c r="I523" i="1"/>
  <c r="I527" i="1"/>
  <c r="I531" i="1"/>
  <c r="J128" i="1"/>
  <c r="J133" i="1"/>
  <c r="K158" i="3"/>
  <c r="J392" i="1"/>
  <c r="O401" i="3"/>
  <c r="J447" i="1"/>
  <c r="J108" i="1"/>
  <c r="K108" i="1" s="1"/>
  <c r="J420" i="1"/>
  <c r="K424" i="3"/>
  <c r="J483" i="1"/>
  <c r="K432" i="3"/>
  <c r="N439" i="1"/>
  <c r="K595" i="3"/>
  <c r="K620" i="3"/>
  <c r="K623" i="3"/>
  <c r="J626" i="1"/>
  <c r="M49" i="4"/>
  <c r="M43" i="4" s="1"/>
  <c r="P275" i="4"/>
  <c r="M331" i="4"/>
  <c r="M329" i="4" s="1"/>
  <c r="K396" i="4"/>
  <c r="K425" i="4"/>
  <c r="K429" i="4"/>
  <c r="O439" i="4"/>
  <c r="K615" i="4"/>
  <c r="K186" i="5"/>
  <c r="K621" i="5"/>
  <c r="L640" i="5"/>
  <c r="L638" i="5" s="1"/>
  <c r="L636" i="5" s="1"/>
  <c r="N273" i="6"/>
  <c r="N271" i="6" s="1"/>
  <c r="P314" i="6"/>
  <c r="O380" i="6"/>
  <c r="K465" i="6"/>
  <c r="P49" i="7"/>
  <c r="N459" i="1"/>
  <c r="K465" i="3"/>
  <c r="N540" i="1"/>
  <c r="J609" i="1"/>
  <c r="I621" i="1"/>
  <c r="K626" i="3"/>
  <c r="L23" i="4"/>
  <c r="O23" i="4" s="1"/>
  <c r="M96" i="4"/>
  <c r="P96" i="4" s="1"/>
  <c r="P144" i="4"/>
  <c r="K612" i="4"/>
  <c r="L33" i="5"/>
  <c r="P45" i="5"/>
  <c r="N96" i="5"/>
  <c r="N94" i="5" s="1"/>
  <c r="K229" i="5"/>
  <c r="N252" i="5"/>
  <c r="N250" i="5" s="1"/>
  <c r="K345" i="5"/>
  <c r="O383" i="5"/>
  <c r="K612" i="5"/>
  <c r="M22" i="6"/>
  <c r="M120" i="6"/>
  <c r="P294" i="6"/>
  <c r="N331" i="6"/>
  <c r="K343" i="6"/>
  <c r="O401" i="6"/>
  <c r="K417" i="6"/>
  <c r="O437" i="6"/>
  <c r="K499" i="6"/>
  <c r="K426" i="3"/>
  <c r="O437" i="3"/>
  <c r="O535" i="3"/>
  <c r="K628" i="3"/>
  <c r="N252" i="4"/>
  <c r="N250" i="4" s="1"/>
  <c r="O459" i="4"/>
  <c r="K635" i="4"/>
  <c r="L45" i="5"/>
  <c r="L43" i="5" s="1"/>
  <c r="K88" i="5"/>
  <c r="K173" i="5"/>
  <c r="K199" i="5"/>
  <c r="K474" i="5"/>
  <c r="K634" i="5"/>
  <c r="K649" i="5"/>
  <c r="L31" i="6"/>
  <c r="O31" i="6" s="1"/>
  <c r="N43" i="6"/>
  <c r="N41" i="6" s="1"/>
  <c r="K189" i="6"/>
  <c r="N312" i="6"/>
  <c r="P312" i="6" s="1"/>
  <c r="O347" i="6"/>
  <c r="K421" i="6"/>
  <c r="K424" i="6"/>
  <c r="O457" i="3"/>
  <c r="J475" i="1"/>
  <c r="J491" i="1"/>
  <c r="J507" i="1"/>
  <c r="O568" i="3"/>
  <c r="O584" i="3"/>
  <c r="J618" i="1"/>
  <c r="K621" i="3"/>
  <c r="K624" i="3"/>
  <c r="K199" i="4"/>
  <c r="K285" i="4"/>
  <c r="P314" i="4"/>
  <c r="N331" i="4"/>
  <c r="N329" i="4" s="1"/>
  <c r="K340" i="4"/>
  <c r="K397" i="4"/>
  <c r="K423" i="4"/>
  <c r="K435" i="4"/>
  <c r="K498" i="4"/>
  <c r="O537" i="4"/>
  <c r="O601" i="4"/>
  <c r="K616" i="4"/>
  <c r="L26" i="5"/>
  <c r="L16" i="5" s="1"/>
  <c r="P57" i="5"/>
  <c r="K219" i="5"/>
  <c r="P224" i="5"/>
  <c r="L275" i="5"/>
  <c r="O275" i="5" s="1"/>
  <c r="L294" i="5"/>
  <c r="O294" i="5" s="1"/>
  <c r="K340" i="5"/>
  <c r="O352" i="5"/>
  <c r="O380" i="5"/>
  <c r="K401" i="5"/>
  <c r="O599" i="5"/>
  <c r="K628" i="5"/>
  <c r="O649" i="5"/>
  <c r="L24" i="6"/>
  <c r="L26" i="6"/>
  <c r="L70" i="6"/>
  <c r="L68" i="6" s="1"/>
  <c r="O68" i="6" s="1"/>
  <c r="K92" i="6"/>
  <c r="K109" i="6"/>
  <c r="K112" i="6"/>
  <c r="K164" i="6"/>
  <c r="K265" i="6"/>
  <c r="K428" i="6"/>
  <c r="K593" i="6"/>
  <c r="J652" i="1"/>
  <c r="J661" i="1"/>
  <c r="L57" i="4"/>
  <c r="O57" i="4" s="1"/>
  <c r="O566" i="4"/>
  <c r="K497" i="5"/>
  <c r="K533" i="5"/>
  <c r="K635" i="5"/>
  <c r="K368" i="6"/>
  <c r="K375" i="6"/>
  <c r="K425" i="6"/>
  <c r="O435" i="6"/>
  <c r="K629" i="3"/>
  <c r="K633" i="3"/>
  <c r="K158" i="4"/>
  <c r="O347" i="4"/>
  <c r="K424" i="4"/>
  <c r="K427" i="4"/>
  <c r="O435" i="4"/>
  <c r="K455" i="4"/>
  <c r="K564" i="4"/>
  <c r="K617" i="4"/>
  <c r="L57" i="5"/>
  <c r="O57" i="5" s="1"/>
  <c r="P70" i="5"/>
  <c r="M102" i="5"/>
  <c r="K149" i="5"/>
  <c r="L224" i="5"/>
  <c r="L222" i="5" s="1"/>
  <c r="K267" i="5"/>
  <c r="L314" i="5"/>
  <c r="L312" i="5" s="1"/>
  <c r="O312" i="5" s="1"/>
  <c r="L333" i="5"/>
  <c r="O333" i="5" s="1"/>
  <c r="O347" i="5"/>
  <c r="K377" i="5"/>
  <c r="K381" i="5"/>
  <c r="K397" i="5"/>
  <c r="K417" i="5"/>
  <c r="O568" i="5"/>
  <c r="K93" i="6"/>
  <c r="K113" i="6"/>
  <c r="K289" i="6"/>
  <c r="K380" i="6"/>
  <c r="K429" i="6"/>
  <c r="K432" i="6"/>
  <c r="O439" i="6"/>
  <c r="K464" i="6"/>
  <c r="O584" i="6"/>
  <c r="N556" i="1"/>
  <c r="J561" i="1"/>
  <c r="J579" i="1"/>
  <c r="J594" i="1"/>
  <c r="K625" i="3"/>
  <c r="O385" i="4"/>
  <c r="K428" i="4"/>
  <c r="J515" i="1"/>
  <c r="I613" i="1"/>
  <c r="K618" i="4"/>
  <c r="K649" i="4"/>
  <c r="P144" i="5"/>
  <c r="N329" i="5"/>
  <c r="K425" i="5"/>
  <c r="K632" i="5"/>
  <c r="M220" i="6"/>
  <c r="K426" i="6"/>
  <c r="O566" i="6"/>
  <c r="L24" i="7"/>
  <c r="O24" i="7" s="1"/>
  <c r="K92" i="7"/>
  <c r="K164" i="7"/>
  <c r="N222" i="7"/>
  <c r="N220" i="7" s="1"/>
  <c r="O337" i="7"/>
  <c r="K375" i="7"/>
  <c r="O435" i="7"/>
  <c r="O566" i="7"/>
  <c r="K612" i="7"/>
  <c r="K623" i="7"/>
  <c r="N96" i="8"/>
  <c r="N94" i="8" s="1"/>
  <c r="I367" i="8"/>
  <c r="K367" i="8" s="1"/>
  <c r="O384" i="8"/>
  <c r="K466" i="8"/>
  <c r="K547" i="8"/>
  <c r="K612" i="8"/>
  <c r="K633" i="8"/>
  <c r="L26" i="9"/>
  <c r="L16" i="9" s="1"/>
  <c r="N43" i="9"/>
  <c r="N41" i="9" s="1"/>
  <c r="K64" i="9"/>
  <c r="L122" i="9"/>
  <c r="O122" i="9" s="1"/>
  <c r="L224" i="9"/>
  <c r="O224" i="9" s="1"/>
  <c r="K350" i="9"/>
  <c r="M22" i="10"/>
  <c r="M12" i="10" s="1"/>
  <c r="O404" i="12"/>
  <c r="L32" i="12"/>
  <c r="L30" i="12" s="1"/>
  <c r="L24" i="13"/>
  <c r="O24" i="13" s="1"/>
  <c r="K551" i="6"/>
  <c r="K580" i="6"/>
  <c r="O582" i="6"/>
  <c r="K620" i="6"/>
  <c r="N644" i="6"/>
  <c r="N640" i="6" s="1"/>
  <c r="N638" i="6" s="1"/>
  <c r="N636" i="6" s="1"/>
  <c r="O49" i="7"/>
  <c r="N96" i="7"/>
  <c r="N94" i="7" s="1"/>
  <c r="N252" i="7"/>
  <c r="N250" i="7" s="1"/>
  <c r="N273" i="7"/>
  <c r="N271" i="7" s="1"/>
  <c r="N312" i="7"/>
  <c r="N310" i="7" s="1"/>
  <c r="K372" i="7"/>
  <c r="O406" i="7"/>
  <c r="O597" i="7"/>
  <c r="K616" i="7"/>
  <c r="N43" i="8"/>
  <c r="N41" i="8" s="1"/>
  <c r="K186" i="8"/>
  <c r="L275" i="8"/>
  <c r="K616" i="8"/>
  <c r="K619" i="8"/>
  <c r="K625" i="8"/>
  <c r="P102" i="9"/>
  <c r="K112" i="9"/>
  <c r="K328" i="9"/>
  <c r="P333" i="9"/>
  <c r="M331" i="9"/>
  <c r="M329" i="9" s="1"/>
  <c r="L32" i="9"/>
  <c r="O337" i="10"/>
  <c r="M337" i="10"/>
  <c r="P337" i="10" s="1"/>
  <c r="L33" i="11"/>
  <c r="O33" i="11" s="1"/>
  <c r="O384" i="11"/>
  <c r="K185" i="7"/>
  <c r="L23" i="8"/>
  <c r="O23" i="8" s="1"/>
  <c r="N34" i="8"/>
  <c r="N14" i="8" s="1"/>
  <c r="M312" i="9"/>
  <c r="P312" i="9" s="1"/>
  <c r="P314" i="9"/>
  <c r="K380" i="9"/>
  <c r="O405" i="10"/>
  <c r="L33" i="10"/>
  <c r="O33" i="10" s="1"/>
  <c r="P254" i="12"/>
  <c r="M252" i="12"/>
  <c r="P252" i="12" s="1"/>
  <c r="O383" i="12"/>
  <c r="N32" i="12"/>
  <c r="N33" i="12"/>
  <c r="N13" i="12" s="1"/>
  <c r="O601" i="6"/>
  <c r="K624" i="6"/>
  <c r="K632" i="6"/>
  <c r="M22" i="7"/>
  <c r="M68" i="7"/>
  <c r="P68" i="7" s="1"/>
  <c r="K149" i="7"/>
  <c r="K176" i="7"/>
  <c r="K328" i="7"/>
  <c r="N331" i="7"/>
  <c r="N329" i="7" s="1"/>
  <c r="O380" i="7"/>
  <c r="K426" i="7"/>
  <c r="O551" i="7"/>
  <c r="K560" i="7"/>
  <c r="O564" i="7"/>
  <c r="K589" i="7"/>
  <c r="L31" i="8"/>
  <c r="L45" i="8"/>
  <c r="O45" i="8" s="1"/>
  <c r="L98" i="8"/>
  <c r="O98" i="8" s="1"/>
  <c r="N120" i="8"/>
  <c r="N118" i="8" s="1"/>
  <c r="K199" i="8"/>
  <c r="M292" i="8"/>
  <c r="P292" i="8" s="1"/>
  <c r="K375" i="8"/>
  <c r="K380" i="8"/>
  <c r="K396" i="8"/>
  <c r="K401" i="8"/>
  <c r="K416" i="8"/>
  <c r="K423" i="8"/>
  <c r="K427" i="8"/>
  <c r="K435" i="8"/>
  <c r="K455" i="8"/>
  <c r="K474" i="8"/>
  <c r="O582" i="8"/>
  <c r="K595" i="8"/>
  <c r="K623" i="8"/>
  <c r="K650" i="8"/>
  <c r="N68" i="9"/>
  <c r="N66" i="9" s="1"/>
  <c r="K83" i="9"/>
  <c r="O102" i="9"/>
  <c r="K113" i="9"/>
  <c r="L144" i="9"/>
  <c r="L142" i="9" s="1"/>
  <c r="L254" i="9"/>
  <c r="L252" i="9" s="1"/>
  <c r="O252" i="9" s="1"/>
  <c r="N292" i="9"/>
  <c r="N290" i="9" s="1"/>
  <c r="K341" i="9"/>
  <c r="K376" i="9"/>
  <c r="N34" i="10"/>
  <c r="N14" i="10" s="1"/>
  <c r="L26" i="11"/>
  <c r="P333" i="11"/>
  <c r="M22" i="12"/>
  <c r="M12" i="12" s="1"/>
  <c r="M273" i="8"/>
  <c r="M271" i="8" s="1"/>
  <c r="K617" i="8"/>
  <c r="M120" i="10"/>
  <c r="P120" i="10" s="1"/>
  <c r="P122" i="10"/>
  <c r="O102" i="11"/>
  <c r="M102" i="11"/>
  <c r="M96" i="11" s="1"/>
  <c r="M94" i="11" s="1"/>
  <c r="I367" i="12"/>
  <c r="K367" i="12" s="1"/>
  <c r="K369" i="12"/>
  <c r="O436" i="12"/>
  <c r="L31" i="12"/>
  <c r="O31" i="12" s="1"/>
  <c r="K615" i="6"/>
  <c r="L45" i="7"/>
  <c r="P57" i="7"/>
  <c r="M102" i="7"/>
  <c r="P102" i="7" s="1"/>
  <c r="P122" i="7"/>
  <c r="K229" i="7"/>
  <c r="K381" i="7"/>
  <c r="O401" i="7"/>
  <c r="K427" i="7"/>
  <c r="K430" i="7"/>
  <c r="K435" i="7"/>
  <c r="K533" i="7"/>
  <c r="O535" i="7"/>
  <c r="O555" i="7"/>
  <c r="O584" i="7"/>
  <c r="L122" i="8"/>
  <c r="O122" i="8" s="1"/>
  <c r="K372" i="8"/>
  <c r="K376" i="8"/>
  <c r="O380" i="8"/>
  <c r="O383" i="8"/>
  <c r="K397" i="8"/>
  <c r="O401" i="8"/>
  <c r="O404" i="8"/>
  <c r="K424" i="8"/>
  <c r="O435" i="8"/>
  <c r="O455" i="8"/>
  <c r="N33" i="8"/>
  <c r="N13" i="8" s="1"/>
  <c r="O566" i="8"/>
  <c r="K580" i="8"/>
  <c r="K593" i="8"/>
  <c r="O599" i="8"/>
  <c r="K611" i="8"/>
  <c r="K80" i="9"/>
  <c r="K84" i="9"/>
  <c r="K110" i="9"/>
  <c r="K164" i="9"/>
  <c r="K229" i="9"/>
  <c r="N31" i="10"/>
  <c r="N29" i="10" s="1"/>
  <c r="M312" i="11"/>
  <c r="P312" i="11" s="1"/>
  <c r="P314" i="11"/>
  <c r="P98" i="9"/>
  <c r="O599" i="6"/>
  <c r="K112" i="7"/>
  <c r="K424" i="7"/>
  <c r="N273" i="8"/>
  <c r="N271" i="8" s="1"/>
  <c r="K421" i="8"/>
  <c r="K564" i="8"/>
  <c r="K618" i="8"/>
  <c r="K88" i="9"/>
  <c r="P122" i="9"/>
  <c r="K285" i="9"/>
  <c r="M292" i="10"/>
  <c r="M290" i="10" s="1"/>
  <c r="P290" i="10" s="1"/>
  <c r="P294" i="10"/>
  <c r="N26" i="12"/>
  <c r="N16" i="12" s="1"/>
  <c r="N43" i="12"/>
  <c r="K270" i="9"/>
  <c r="P275" i="9"/>
  <c r="O347" i="9"/>
  <c r="L31" i="9"/>
  <c r="L29" i="9" s="1"/>
  <c r="O354" i="9"/>
  <c r="K422" i="9"/>
  <c r="K614" i="9"/>
  <c r="K626" i="9"/>
  <c r="K81" i="10"/>
  <c r="K85" i="10"/>
  <c r="K88" i="10"/>
  <c r="K111" i="10"/>
  <c r="K173" i="10"/>
  <c r="K189" i="10"/>
  <c r="K200" i="10"/>
  <c r="O354" i="10"/>
  <c r="K368" i="10"/>
  <c r="K372" i="10"/>
  <c r="O385" i="10"/>
  <c r="O404" i="10"/>
  <c r="K420" i="10"/>
  <c r="K618" i="10"/>
  <c r="K614" i="10"/>
  <c r="K624" i="10"/>
  <c r="L45" i="11"/>
  <c r="O45" i="11" s="1"/>
  <c r="K64" i="11"/>
  <c r="N26" i="11"/>
  <c r="N16" i="11" s="1"/>
  <c r="K158" i="11"/>
  <c r="K176" i="11"/>
  <c r="K186" i="11"/>
  <c r="K235" i="11"/>
  <c r="N292" i="11"/>
  <c r="N290" i="11" s="1"/>
  <c r="K345" i="11"/>
  <c r="K372" i="11"/>
  <c r="O380" i="11"/>
  <c r="O401" i="11"/>
  <c r="K424" i="11"/>
  <c r="K428" i="11"/>
  <c r="O435" i="11"/>
  <c r="O439" i="11"/>
  <c r="K455" i="11"/>
  <c r="O537" i="11"/>
  <c r="K593" i="11"/>
  <c r="O599" i="11"/>
  <c r="K611" i="11"/>
  <c r="K631" i="11"/>
  <c r="K635" i="11"/>
  <c r="N41" i="12"/>
  <c r="N55" i="12"/>
  <c r="N142" i="12"/>
  <c r="N140" i="12" s="1"/>
  <c r="P140" i="12" s="1"/>
  <c r="L224" i="12"/>
  <c r="L222" i="12" s="1"/>
  <c r="L220" i="12" s="1"/>
  <c r="P275" i="12"/>
  <c r="K345" i="12"/>
  <c r="K380" i="12"/>
  <c r="K419" i="12"/>
  <c r="O435" i="12"/>
  <c r="K464" i="12"/>
  <c r="K474" i="12"/>
  <c r="O537" i="12"/>
  <c r="O582" i="12"/>
  <c r="O601" i="12"/>
  <c r="L70" i="13"/>
  <c r="O70" i="13" s="1"/>
  <c r="K419" i="9"/>
  <c r="K466" i="9"/>
  <c r="K482" i="9"/>
  <c r="K498" i="9"/>
  <c r="K564" i="9"/>
  <c r="K597" i="9"/>
  <c r="K621" i="9"/>
  <c r="K624" i="9"/>
  <c r="P45" i="10"/>
  <c r="L57" i="10"/>
  <c r="O57" i="10" s="1"/>
  <c r="L98" i="10"/>
  <c r="L96" i="10" s="1"/>
  <c r="K112" i="10"/>
  <c r="K158" i="10"/>
  <c r="K201" i="10"/>
  <c r="L275" i="10"/>
  <c r="O275" i="10" s="1"/>
  <c r="K285" i="10"/>
  <c r="M312" i="10"/>
  <c r="P312" i="10" s="1"/>
  <c r="K341" i="10"/>
  <c r="K396" i="10"/>
  <c r="K402" i="10"/>
  <c r="K421" i="10"/>
  <c r="K428" i="10"/>
  <c r="O439" i="10"/>
  <c r="O535" i="10"/>
  <c r="K564" i="10"/>
  <c r="O582" i="10"/>
  <c r="N644" i="10"/>
  <c r="N640" i="10" s="1"/>
  <c r="N638" i="10" s="1"/>
  <c r="N636" i="10" s="1"/>
  <c r="N68" i="11"/>
  <c r="N66" i="11" s="1"/>
  <c r="K111" i="11"/>
  <c r="K573" i="11"/>
  <c r="K621" i="11"/>
  <c r="N644" i="11"/>
  <c r="N640" i="11" s="1"/>
  <c r="N638" i="11" s="1"/>
  <c r="N636" i="11" s="1"/>
  <c r="K149" i="12"/>
  <c r="N252" i="12"/>
  <c r="N250" i="12" s="1"/>
  <c r="K396" i="12"/>
  <c r="K616" i="12"/>
  <c r="K631" i="12"/>
  <c r="L640" i="12"/>
  <c r="L638" i="12" s="1"/>
  <c r="N22" i="10"/>
  <c r="L24" i="10"/>
  <c r="O24" i="10" s="1"/>
  <c r="N312" i="10"/>
  <c r="N310" i="10" s="1"/>
  <c r="N31" i="11"/>
  <c r="N29" i="11" s="1"/>
  <c r="K597" i="11"/>
  <c r="K612" i="11"/>
  <c r="L275" i="12"/>
  <c r="O275" i="12" s="1"/>
  <c r="K372" i="12"/>
  <c r="K416" i="12"/>
  <c r="O455" i="12"/>
  <c r="O648" i="12"/>
  <c r="K235" i="9"/>
  <c r="O349" i="9"/>
  <c r="O352" i="9"/>
  <c r="K397" i="9"/>
  <c r="K420" i="9"/>
  <c r="K499" i="9"/>
  <c r="O533" i="9"/>
  <c r="K573" i="9"/>
  <c r="K629" i="9"/>
  <c r="P102" i="10"/>
  <c r="L122" i="10"/>
  <c r="O122" i="10" s="1"/>
  <c r="P254" i="10"/>
  <c r="K328" i="10"/>
  <c r="O349" i="10"/>
  <c r="K370" i="10"/>
  <c r="K429" i="10"/>
  <c r="K449" i="10"/>
  <c r="O564" i="10"/>
  <c r="K573" i="10"/>
  <c r="L24" i="11"/>
  <c r="O24" i="11" s="1"/>
  <c r="K80" i="11"/>
  <c r="K132" i="11"/>
  <c r="P144" i="11"/>
  <c r="K173" i="11"/>
  <c r="K189" i="11"/>
  <c r="M292" i="11"/>
  <c r="P292" i="11" s="1"/>
  <c r="L314" i="11"/>
  <c r="L312" i="11" s="1"/>
  <c r="K343" i="11"/>
  <c r="O347" i="11"/>
  <c r="K419" i="11"/>
  <c r="K426" i="11"/>
  <c r="O437" i="11"/>
  <c r="K473" i="11"/>
  <c r="O597" i="11"/>
  <c r="O601" i="11"/>
  <c r="K616" i="11"/>
  <c r="K619" i="11"/>
  <c r="K625" i="11"/>
  <c r="L33" i="12"/>
  <c r="O33" i="12" s="1"/>
  <c r="M96" i="12"/>
  <c r="P96" i="12" s="1"/>
  <c r="P144" i="12"/>
  <c r="O347" i="12"/>
  <c r="K377" i="12"/>
  <c r="K381" i="12"/>
  <c r="K417" i="12"/>
  <c r="K466" i="12"/>
  <c r="K482" i="12"/>
  <c r="K498" i="12"/>
  <c r="O533" i="12"/>
  <c r="O599" i="12"/>
  <c r="K611" i="12"/>
  <c r="K621" i="12"/>
  <c r="K649" i="12"/>
  <c r="L45" i="13"/>
  <c r="L43" i="13" s="1"/>
  <c r="M68" i="13"/>
  <c r="P68" i="13" s="1"/>
  <c r="K449" i="9"/>
  <c r="K625" i="9"/>
  <c r="L70" i="10"/>
  <c r="L68" i="10" s="1"/>
  <c r="K80" i="10"/>
  <c r="P144" i="10"/>
  <c r="K229" i="10"/>
  <c r="L254" i="10"/>
  <c r="L252" i="10" s="1"/>
  <c r="P333" i="10"/>
  <c r="K450" i="10"/>
  <c r="K455" i="10"/>
  <c r="K623" i="10"/>
  <c r="K93" i="11"/>
  <c r="N222" i="11"/>
  <c r="N220" i="11" s="1"/>
  <c r="K368" i="11"/>
  <c r="O457" i="11"/>
  <c r="K497" i="11"/>
  <c r="O533" i="11"/>
  <c r="K398" i="12"/>
  <c r="K402" i="12"/>
  <c r="K428" i="12"/>
  <c r="I367" i="10"/>
  <c r="K367" i="10" s="1"/>
  <c r="J671" i="12"/>
  <c r="K620" i="9"/>
  <c r="K623" i="9"/>
  <c r="K199" i="10"/>
  <c r="K219" i="10"/>
  <c r="N222" i="10"/>
  <c r="N220" i="10" s="1"/>
  <c r="K466" i="10"/>
  <c r="K482" i="10"/>
  <c r="K498" i="10"/>
  <c r="O533" i="10"/>
  <c r="O601" i="10"/>
  <c r="L23" i="11"/>
  <c r="O23" i="11" s="1"/>
  <c r="K164" i="11"/>
  <c r="M337" i="11"/>
  <c r="P337" i="11" s="1"/>
  <c r="K423" i="11"/>
  <c r="K435" i="11"/>
  <c r="K620" i="11"/>
  <c r="K626" i="11"/>
  <c r="K630" i="11"/>
  <c r="L26" i="12"/>
  <c r="L16" i="12" s="1"/>
  <c r="O566" i="12"/>
  <c r="M22" i="13"/>
  <c r="M12" i="13" s="1"/>
  <c r="K92" i="13"/>
  <c r="K113" i="13"/>
  <c r="P294" i="13"/>
  <c r="O349" i="13"/>
  <c r="K370" i="13"/>
  <c r="K421" i="13"/>
  <c r="O455" i="13"/>
  <c r="O535" i="13"/>
  <c r="K573" i="13"/>
  <c r="K580" i="13"/>
  <c r="K615" i="13"/>
  <c r="K635" i="13"/>
  <c r="N644" i="13"/>
  <c r="N640" i="13" s="1"/>
  <c r="N638" i="13" s="1"/>
  <c r="N636" i="13" s="1"/>
  <c r="O49" i="14"/>
  <c r="L98" i="14"/>
  <c r="M222" i="14"/>
  <c r="M220" i="14" s="1"/>
  <c r="M312" i="14"/>
  <c r="P312" i="14" s="1"/>
  <c r="K370" i="14"/>
  <c r="K419" i="14"/>
  <c r="O537" i="14"/>
  <c r="N22" i="15"/>
  <c r="L70" i="15"/>
  <c r="O70" i="15" s="1"/>
  <c r="P144" i="15"/>
  <c r="K595" i="15"/>
  <c r="K616" i="15"/>
  <c r="N26" i="16"/>
  <c r="N16" i="16" s="1"/>
  <c r="O597" i="13"/>
  <c r="L122" i="14"/>
  <c r="O122" i="14" s="1"/>
  <c r="K229" i="14"/>
  <c r="L254" i="14"/>
  <c r="O254" i="14" s="1"/>
  <c r="K264" i="14"/>
  <c r="O337" i="14"/>
  <c r="O349" i="14"/>
  <c r="O404" i="14"/>
  <c r="K420" i="14"/>
  <c r="K424" i="14"/>
  <c r="K431" i="14"/>
  <c r="O435" i="14"/>
  <c r="O582" i="14"/>
  <c r="O597" i="14"/>
  <c r="K631" i="14"/>
  <c r="M22" i="15"/>
  <c r="M12" i="15" s="1"/>
  <c r="K173" i="15"/>
  <c r="K199" i="15"/>
  <c r="K267" i="15"/>
  <c r="O349" i="15"/>
  <c r="K370" i="15"/>
  <c r="K423" i="15"/>
  <c r="K426" i="15"/>
  <c r="K430" i="15"/>
  <c r="K474" i="15"/>
  <c r="O601" i="15"/>
  <c r="P144" i="16"/>
  <c r="N292" i="16"/>
  <c r="N290" i="16" s="1"/>
  <c r="K350" i="16"/>
  <c r="I367" i="16"/>
  <c r="K367" i="16" s="1"/>
  <c r="N55" i="13"/>
  <c r="N53" i="13" s="1"/>
  <c r="P98" i="13"/>
  <c r="L144" i="13"/>
  <c r="L142" i="13" s="1"/>
  <c r="K235" i="13"/>
  <c r="N252" i="13"/>
  <c r="N250" i="13" s="1"/>
  <c r="K350" i="13"/>
  <c r="K422" i="13"/>
  <c r="K428" i="13"/>
  <c r="K625" i="13"/>
  <c r="N68" i="14"/>
  <c r="P68" i="14" s="1"/>
  <c r="K612" i="14"/>
  <c r="K615" i="14"/>
  <c r="K614" i="15"/>
  <c r="K617" i="15"/>
  <c r="O537" i="13"/>
  <c r="O555" i="13"/>
  <c r="O580" i="13"/>
  <c r="K616" i="13"/>
  <c r="N55" i="14"/>
  <c r="N53" i="14" s="1"/>
  <c r="K265" i="14"/>
  <c r="P333" i="14"/>
  <c r="K498" i="14"/>
  <c r="N31" i="14"/>
  <c r="N29" i="14" s="1"/>
  <c r="K595" i="14"/>
  <c r="K635" i="14"/>
  <c r="L26" i="15"/>
  <c r="K200" i="15"/>
  <c r="M292" i="15"/>
  <c r="P292" i="15" s="1"/>
  <c r="K377" i="15"/>
  <c r="K431" i="15"/>
  <c r="K450" i="15"/>
  <c r="K593" i="15"/>
  <c r="K611" i="15"/>
  <c r="L98" i="16"/>
  <c r="O98" i="16" s="1"/>
  <c r="K199" i="16"/>
  <c r="K219" i="16"/>
  <c r="O347" i="16"/>
  <c r="O354" i="16"/>
  <c r="K372" i="16"/>
  <c r="K380" i="16"/>
  <c r="K158" i="13"/>
  <c r="M273" i="13"/>
  <c r="M271" i="13" s="1"/>
  <c r="L314" i="13"/>
  <c r="O314" i="13" s="1"/>
  <c r="O459" i="13"/>
  <c r="K620" i="13"/>
  <c r="K623" i="13"/>
  <c r="K372" i="14"/>
  <c r="K381" i="14"/>
  <c r="K474" i="14"/>
  <c r="N26" i="15"/>
  <c r="N16" i="15" s="1"/>
  <c r="K618" i="15"/>
  <c r="J651" i="15"/>
  <c r="P122" i="13"/>
  <c r="K185" i="13"/>
  <c r="O347" i="13"/>
  <c r="K368" i="13"/>
  <c r="O404" i="13"/>
  <c r="O601" i="13"/>
  <c r="K626" i="13"/>
  <c r="P70" i="14"/>
  <c r="K249" i="14"/>
  <c r="K266" i="14"/>
  <c r="L275" i="14"/>
  <c r="O275" i="14" s="1"/>
  <c r="L294" i="14"/>
  <c r="O294" i="14" s="1"/>
  <c r="O347" i="14"/>
  <c r="K396" i="14"/>
  <c r="O406" i="14"/>
  <c r="K422" i="14"/>
  <c r="O459" i="14"/>
  <c r="O580" i="14"/>
  <c r="K589" i="14"/>
  <c r="K616" i="14"/>
  <c r="K629" i="14"/>
  <c r="K64" i="15"/>
  <c r="K109" i="15"/>
  <c r="K158" i="15"/>
  <c r="K216" i="15"/>
  <c r="K340" i="15"/>
  <c r="K368" i="15"/>
  <c r="K381" i="15"/>
  <c r="O385" i="15"/>
  <c r="K398" i="15"/>
  <c r="K466" i="15"/>
  <c r="K482" i="15"/>
  <c r="K564" i="15"/>
  <c r="K612" i="15"/>
  <c r="K615" i="15"/>
  <c r="K634" i="15"/>
  <c r="K164" i="16"/>
  <c r="K185" i="16"/>
  <c r="L275" i="16"/>
  <c r="O275" i="16" s="1"/>
  <c r="K285" i="16"/>
  <c r="P294" i="16"/>
  <c r="L26" i="13"/>
  <c r="K349" i="13"/>
  <c r="K424" i="13"/>
  <c r="N33" i="15"/>
  <c r="N13" i="15" s="1"/>
  <c r="K619" i="15"/>
  <c r="L224" i="13"/>
  <c r="L222" i="13" s="1"/>
  <c r="O435" i="13"/>
  <c r="O553" i="13"/>
  <c r="K621" i="13"/>
  <c r="K624" i="13"/>
  <c r="L70" i="14"/>
  <c r="O70" i="14" s="1"/>
  <c r="N142" i="14"/>
  <c r="N140" i="14" s="1"/>
  <c r="P140" i="14" s="1"/>
  <c r="P254" i="14"/>
  <c r="K533" i="14"/>
  <c r="K597" i="14"/>
  <c r="K614" i="14"/>
  <c r="K630" i="14"/>
  <c r="J671" i="14"/>
  <c r="O49" i="15"/>
  <c r="K110" i="15"/>
  <c r="K266" i="15"/>
  <c r="N331" i="15"/>
  <c r="P331" i="15" s="1"/>
  <c r="K402" i="15"/>
  <c r="O406" i="15"/>
  <c r="K418" i="15"/>
  <c r="K422" i="15"/>
  <c r="K580" i="15"/>
  <c r="K628" i="15"/>
  <c r="K635" i="15"/>
  <c r="L640" i="15"/>
  <c r="L638" i="15" s="1"/>
  <c r="N22" i="16"/>
  <c r="K176" i="16"/>
  <c r="L254" i="16"/>
  <c r="L252" i="16" s="1"/>
  <c r="O252" i="16" s="1"/>
  <c r="K328" i="16"/>
  <c r="O349" i="16"/>
  <c r="K370" i="16"/>
  <c r="N33" i="17"/>
  <c r="N13" i="17" s="1"/>
  <c r="K649" i="17"/>
  <c r="K138" i="18"/>
  <c r="N273" i="18"/>
  <c r="N271" i="18" s="1"/>
  <c r="P314" i="18"/>
  <c r="O352" i="18"/>
  <c r="K417" i="18"/>
  <c r="K421" i="18"/>
  <c r="K428" i="18"/>
  <c r="K466" i="18"/>
  <c r="K547" i="18"/>
  <c r="K628" i="18"/>
  <c r="K634" i="18"/>
  <c r="L24" i="19"/>
  <c r="O24" i="19" s="1"/>
  <c r="O581" i="19"/>
  <c r="L31" i="19"/>
  <c r="L11" i="19" s="1"/>
  <c r="K649" i="20"/>
  <c r="M142" i="21"/>
  <c r="M140" i="21" s="1"/>
  <c r="P144" i="21"/>
  <c r="O435" i="16"/>
  <c r="K451" i="16"/>
  <c r="O455" i="16"/>
  <c r="O566" i="16"/>
  <c r="N68" i="17"/>
  <c r="N66" i="17" s="1"/>
  <c r="K93" i="17"/>
  <c r="M102" i="17"/>
  <c r="K112" i="17"/>
  <c r="P122" i="17"/>
  <c r="K200" i="17"/>
  <c r="N222" i="17"/>
  <c r="N220" i="17" s="1"/>
  <c r="O347" i="17"/>
  <c r="K377" i="17"/>
  <c r="K398" i="17"/>
  <c r="K418" i="17"/>
  <c r="K425" i="17"/>
  <c r="O439" i="17"/>
  <c r="O457" i="17"/>
  <c r="K547" i="17"/>
  <c r="O564" i="17"/>
  <c r="O584" i="17"/>
  <c r="K614" i="17"/>
  <c r="P98" i="18"/>
  <c r="K199" i="18"/>
  <c r="L275" i="18"/>
  <c r="O275" i="18" s="1"/>
  <c r="K343" i="18"/>
  <c r="K432" i="18"/>
  <c r="O455" i="18"/>
  <c r="O601" i="18"/>
  <c r="K616" i="18"/>
  <c r="K635" i="18"/>
  <c r="K648" i="18"/>
  <c r="K464" i="19"/>
  <c r="N96" i="21"/>
  <c r="N94" i="21" s="1"/>
  <c r="P98" i="21"/>
  <c r="L224" i="21"/>
  <c r="O224" i="21" s="1"/>
  <c r="O385" i="16"/>
  <c r="O404" i="16"/>
  <c r="K420" i="16"/>
  <c r="O582" i="16"/>
  <c r="K341" i="17"/>
  <c r="K419" i="17"/>
  <c r="K430" i="17"/>
  <c r="K497" i="17"/>
  <c r="K628" i="17"/>
  <c r="K635" i="17"/>
  <c r="O651" i="17"/>
  <c r="O49" i="18"/>
  <c r="O74" i="18"/>
  <c r="K81" i="18"/>
  <c r="M140" i="18"/>
  <c r="O385" i="18"/>
  <c r="K429" i="18"/>
  <c r="O439" i="18"/>
  <c r="K589" i="18"/>
  <c r="K455" i="20"/>
  <c r="K432" i="16"/>
  <c r="O49" i="17"/>
  <c r="P144" i="17"/>
  <c r="K617" i="18"/>
  <c r="K564" i="16"/>
  <c r="P57" i="17"/>
  <c r="L254" i="17"/>
  <c r="O254" i="17" s="1"/>
  <c r="O533" i="17"/>
  <c r="N331" i="18"/>
  <c r="N329" i="18" s="1"/>
  <c r="O347" i="18"/>
  <c r="K372" i="18"/>
  <c r="K396" i="18"/>
  <c r="K449" i="18"/>
  <c r="O459" i="18"/>
  <c r="O533" i="18"/>
  <c r="K593" i="18"/>
  <c r="K597" i="18"/>
  <c r="K614" i="18"/>
  <c r="L34" i="20"/>
  <c r="O406" i="20"/>
  <c r="O406" i="16"/>
  <c r="K422" i="16"/>
  <c r="K533" i="16"/>
  <c r="O564" i="16"/>
  <c r="K573" i="16"/>
  <c r="K580" i="16"/>
  <c r="K613" i="16"/>
  <c r="K620" i="16"/>
  <c r="K629" i="16"/>
  <c r="J651" i="16"/>
  <c r="L144" i="17"/>
  <c r="L142" i="17" s="1"/>
  <c r="K186" i="17"/>
  <c r="M222" i="17"/>
  <c r="M220" i="17" s="1"/>
  <c r="K267" i="17"/>
  <c r="L294" i="17"/>
  <c r="O294" i="17" s="1"/>
  <c r="O337" i="17"/>
  <c r="K380" i="17"/>
  <c r="K401" i="17"/>
  <c r="K465" i="17"/>
  <c r="O568" i="17"/>
  <c r="K591" i="17"/>
  <c r="K632" i="17"/>
  <c r="P45" i="18"/>
  <c r="K65" i="18"/>
  <c r="K82" i="18"/>
  <c r="K201" i="18"/>
  <c r="O537" i="18"/>
  <c r="K564" i="18"/>
  <c r="K618" i="18"/>
  <c r="K630" i="18"/>
  <c r="N68" i="21"/>
  <c r="N66" i="21" s="1"/>
  <c r="N22" i="21"/>
  <c r="N33" i="21"/>
  <c r="N13" i="21" s="1"/>
  <c r="K421" i="21"/>
  <c r="N33" i="16"/>
  <c r="N13" i="16" s="1"/>
  <c r="K624" i="16"/>
  <c r="L24" i="17"/>
  <c r="K219" i="17"/>
  <c r="K345" i="17"/>
  <c r="O352" i="17"/>
  <c r="K370" i="17"/>
  <c r="K421" i="17"/>
  <c r="K428" i="17"/>
  <c r="O437" i="17"/>
  <c r="K466" i="17"/>
  <c r="O648" i="17"/>
  <c r="L45" i="18"/>
  <c r="O45" i="18" s="1"/>
  <c r="K83" i="18"/>
  <c r="N120" i="18"/>
  <c r="N118" i="18" s="1"/>
  <c r="N32" i="18"/>
  <c r="N30" i="18" s="1"/>
  <c r="K401" i="18"/>
  <c r="O404" i="18"/>
  <c r="K420" i="18"/>
  <c r="K482" i="18"/>
  <c r="K499" i="18"/>
  <c r="O553" i="18"/>
  <c r="K615" i="18"/>
  <c r="M68" i="19"/>
  <c r="M66" i="19" s="1"/>
  <c r="P70" i="19"/>
  <c r="N312" i="19"/>
  <c r="N310" i="19" s="1"/>
  <c r="K450" i="16"/>
  <c r="K455" i="16"/>
  <c r="K466" i="16"/>
  <c r="K482" i="16"/>
  <c r="K498" i="16"/>
  <c r="K630" i="16"/>
  <c r="M331" i="17"/>
  <c r="M329" i="17" s="1"/>
  <c r="K591" i="18"/>
  <c r="K612" i="18"/>
  <c r="N68" i="19"/>
  <c r="N66" i="19" s="1"/>
  <c r="K624" i="21"/>
  <c r="K625" i="21"/>
  <c r="K621" i="21"/>
  <c r="K620" i="21"/>
  <c r="L26" i="19"/>
  <c r="L16" i="19" s="1"/>
  <c r="P98" i="19"/>
  <c r="L122" i="19"/>
  <c r="L144" i="19"/>
  <c r="O144" i="19" s="1"/>
  <c r="K372" i="19"/>
  <c r="O406" i="19"/>
  <c r="K473" i="19"/>
  <c r="K621" i="19"/>
  <c r="K624" i="19"/>
  <c r="M120" i="20"/>
  <c r="M118" i="20" s="1"/>
  <c r="L144" i="20"/>
  <c r="L142" i="20" s="1"/>
  <c r="L140" i="20" s="1"/>
  <c r="K345" i="20"/>
  <c r="K349" i="20"/>
  <c r="K418" i="20"/>
  <c r="K421" i="20"/>
  <c r="K473" i="20"/>
  <c r="K547" i="20"/>
  <c r="O661" i="20"/>
  <c r="L57" i="21"/>
  <c r="L55" i="21" s="1"/>
  <c r="P102" i="21"/>
  <c r="K138" i="21"/>
  <c r="K185" i="21"/>
  <c r="O349" i="21"/>
  <c r="K381" i="21"/>
  <c r="O401" i="21"/>
  <c r="K417" i="21"/>
  <c r="K424" i="21"/>
  <c r="K428" i="21"/>
  <c r="K464" i="21"/>
  <c r="K497" i="21"/>
  <c r="K619" i="21"/>
  <c r="K634" i="21"/>
  <c r="K164" i="19"/>
  <c r="K219" i="19"/>
  <c r="O380" i="19"/>
  <c r="K426" i="19"/>
  <c r="K474" i="19"/>
  <c r="P45" i="20"/>
  <c r="O74" i="20"/>
  <c r="K81" i="20"/>
  <c r="K88" i="20"/>
  <c r="K117" i="20"/>
  <c r="O349" i="20"/>
  <c r="O352" i="20"/>
  <c r="K422" i="20"/>
  <c r="K432" i="20"/>
  <c r="O535" i="20"/>
  <c r="O564" i="20"/>
  <c r="O580" i="20"/>
  <c r="K621" i="20"/>
  <c r="K149" i="21"/>
  <c r="K370" i="21"/>
  <c r="K398" i="21"/>
  <c r="K425" i="21"/>
  <c r="K432" i="21"/>
  <c r="O455" i="21"/>
  <c r="O459" i="21"/>
  <c r="K482" i="21"/>
  <c r="O553" i="21"/>
  <c r="O566" i="21"/>
  <c r="O597" i="21"/>
  <c r="O601" i="21"/>
  <c r="K635" i="21"/>
  <c r="L640" i="21"/>
  <c r="L638" i="21" s="1"/>
  <c r="K625" i="19"/>
  <c r="L640" i="19"/>
  <c r="M68" i="20"/>
  <c r="M66" i="20" s="1"/>
  <c r="N34" i="20"/>
  <c r="N14" i="20" s="1"/>
  <c r="K270" i="21"/>
  <c r="L34" i="21"/>
  <c r="K85" i="19"/>
  <c r="N96" i="19"/>
  <c r="N94" i="19" s="1"/>
  <c r="K185" i="19"/>
  <c r="K270" i="19"/>
  <c r="L333" i="19"/>
  <c r="O333" i="19" s="1"/>
  <c r="K381" i="19"/>
  <c r="O401" i="19"/>
  <c r="K427" i="19"/>
  <c r="K430" i="19"/>
  <c r="K435" i="19"/>
  <c r="K235" i="20"/>
  <c r="K340" i="20"/>
  <c r="K370" i="20"/>
  <c r="K416" i="20"/>
  <c r="K648" i="20"/>
  <c r="K266" i="21"/>
  <c r="P275" i="21"/>
  <c r="L294" i="21"/>
  <c r="O294" i="21" s="1"/>
  <c r="P314" i="21"/>
  <c r="K375" i="21"/>
  <c r="K380" i="21"/>
  <c r="K419" i="21"/>
  <c r="K422" i="21"/>
  <c r="K466" i="21"/>
  <c r="O537" i="21"/>
  <c r="K551" i="21"/>
  <c r="K632" i="21"/>
  <c r="K649" i="21"/>
  <c r="J651" i="21"/>
  <c r="N252" i="19"/>
  <c r="N250" i="19" s="1"/>
  <c r="N273" i="19"/>
  <c r="N271" i="19" s="1"/>
  <c r="P294" i="19"/>
  <c r="K497" i="19"/>
  <c r="K620" i="19"/>
  <c r="K623" i="19"/>
  <c r="K631" i="19"/>
  <c r="P70" i="20"/>
  <c r="N33" i="20"/>
  <c r="N13" i="20" s="1"/>
  <c r="O671" i="20"/>
  <c r="K92" i="21"/>
  <c r="K199" i="21"/>
  <c r="K229" i="21"/>
  <c r="L254" i="21"/>
  <c r="O254" i="21" s="1"/>
  <c r="L275" i="21"/>
  <c r="L273" i="21" s="1"/>
  <c r="K285" i="21"/>
  <c r="L314" i="21"/>
  <c r="O314" i="21" s="1"/>
  <c r="K396" i="21"/>
  <c r="K401" i="21"/>
  <c r="N31" i="19"/>
  <c r="N29" i="19" s="1"/>
  <c r="O385" i="19"/>
  <c r="K402" i="19"/>
  <c r="K424" i="19"/>
  <c r="K431" i="19"/>
  <c r="K455" i="19"/>
  <c r="O564" i="19"/>
  <c r="L24" i="20"/>
  <c r="O24" i="20" s="1"/>
  <c r="K341" i="20"/>
  <c r="K417" i="20"/>
  <c r="O537" i="20"/>
  <c r="O566" i="20"/>
  <c r="O582" i="20"/>
  <c r="K626" i="20"/>
  <c r="J651" i="20"/>
  <c r="K651" i="20" s="1"/>
  <c r="N292" i="21"/>
  <c r="N290" i="21" s="1"/>
  <c r="K372" i="21"/>
  <c r="K376" i="21"/>
  <c r="K416" i="21"/>
  <c r="K420" i="21"/>
  <c r="K427" i="21"/>
  <c r="K430" i="21"/>
  <c r="O437" i="21"/>
  <c r="K473" i="21"/>
  <c r="O535" i="21"/>
  <c r="O568" i="21"/>
  <c r="K593" i="21"/>
  <c r="K611" i="21"/>
  <c r="O649" i="21"/>
  <c r="N142" i="19"/>
  <c r="N140" i="19" s="1"/>
  <c r="L275" i="19"/>
  <c r="O337" i="19"/>
  <c r="K80" i="20"/>
  <c r="M22" i="20"/>
  <c r="P144" i="20"/>
  <c r="K620" i="20"/>
  <c r="K173" i="21"/>
  <c r="N222" i="21"/>
  <c r="N220" i="21" s="1"/>
  <c r="K345" i="21"/>
  <c r="N19" i="1"/>
  <c r="P30" i="1"/>
  <c r="M28" i="1"/>
  <c r="P28" i="1" s="1"/>
  <c r="O54" i="1"/>
  <c r="L15" i="1"/>
  <c r="O15" i="1" s="1"/>
  <c r="O25" i="1"/>
  <c r="P21" i="1"/>
  <c r="M19" i="1"/>
  <c r="M11" i="1"/>
  <c r="N32" i="3"/>
  <c r="N30" i="3" s="1"/>
  <c r="N553" i="1"/>
  <c r="M13" i="1"/>
  <c r="P13" i="1" s="1"/>
  <c r="P32" i="1"/>
  <c r="L334" i="1"/>
  <c r="O42" i="2"/>
  <c r="K419" i="2"/>
  <c r="I501" i="1"/>
  <c r="K501" i="1" s="1"/>
  <c r="K501" i="2"/>
  <c r="J533" i="1"/>
  <c r="K533" i="2"/>
  <c r="L555" i="1"/>
  <c r="L34" i="2"/>
  <c r="O555" i="2"/>
  <c r="L580" i="1"/>
  <c r="O580" i="2"/>
  <c r="L23" i="3"/>
  <c r="L45" i="3"/>
  <c r="K108" i="3"/>
  <c r="K219" i="3"/>
  <c r="O347" i="3"/>
  <c r="K368" i="3"/>
  <c r="L34" i="3"/>
  <c r="O385" i="3"/>
  <c r="L385" i="1"/>
  <c r="K499" i="3"/>
  <c r="O533" i="3"/>
  <c r="N533" i="1"/>
  <c r="K630" i="3"/>
  <c r="I630" i="1"/>
  <c r="J671" i="3"/>
  <c r="J674" i="1"/>
  <c r="P54" i="4"/>
  <c r="M53" i="3"/>
  <c r="L47" i="1"/>
  <c r="L146" i="1"/>
  <c r="P19" i="2"/>
  <c r="I485" i="1"/>
  <c r="K485" i="1" s="1"/>
  <c r="K485" i="2"/>
  <c r="I596" i="1"/>
  <c r="K596" i="1" s="1"/>
  <c r="K596" i="2"/>
  <c r="I629" i="1"/>
  <c r="K629" i="2"/>
  <c r="M271" i="3"/>
  <c r="O330" i="3"/>
  <c r="O406" i="3"/>
  <c r="L406" i="1"/>
  <c r="O650" i="3"/>
  <c r="N650" i="1"/>
  <c r="K624" i="2"/>
  <c r="I620" i="1"/>
  <c r="K621" i="2"/>
  <c r="K626" i="2"/>
  <c r="K623" i="2"/>
  <c r="K620" i="2"/>
  <c r="K625" i="2"/>
  <c r="N26" i="2"/>
  <c r="P294" i="2"/>
  <c r="M292" i="2"/>
  <c r="M22" i="2"/>
  <c r="I509" i="1"/>
  <c r="K509" i="1" s="1"/>
  <c r="K509" i="2"/>
  <c r="M29" i="3"/>
  <c r="M11" i="3"/>
  <c r="P31" i="3"/>
  <c r="P221" i="3"/>
  <c r="M220" i="3"/>
  <c r="P275" i="3"/>
  <c r="N273" i="3"/>
  <c r="P273" i="3" s="1"/>
  <c r="K342" i="3"/>
  <c r="I342" i="1"/>
  <c r="K342" i="1" s="1"/>
  <c r="N31" i="3"/>
  <c r="N382" i="1"/>
  <c r="K478" i="3"/>
  <c r="I478" i="1"/>
  <c r="K478" i="1" s="1"/>
  <c r="K494" i="3"/>
  <c r="I494" i="1"/>
  <c r="K494" i="1" s="1"/>
  <c r="K510" i="3"/>
  <c r="I510" i="1"/>
  <c r="K510" i="1" s="1"/>
  <c r="K573" i="3"/>
  <c r="I573" i="1"/>
  <c r="K589" i="3"/>
  <c r="I589" i="1"/>
  <c r="K671" i="3"/>
  <c r="I671" i="1"/>
  <c r="P333" i="2"/>
  <c r="N331" i="2"/>
  <c r="P42" i="4"/>
  <c r="M15" i="1"/>
  <c r="P15" i="1" s="1"/>
  <c r="L21" i="1"/>
  <c r="L24" i="2"/>
  <c r="P251" i="2"/>
  <c r="O354" i="2"/>
  <c r="I450" i="1"/>
  <c r="K450" i="2"/>
  <c r="I469" i="1"/>
  <c r="K469" i="1" s="1"/>
  <c r="K469" i="2"/>
  <c r="K482" i="2"/>
  <c r="P122" i="3"/>
  <c r="N120" i="3"/>
  <c r="O601" i="3"/>
  <c r="N601" i="1"/>
  <c r="K648" i="3"/>
  <c r="I648" i="1"/>
  <c r="P29" i="4"/>
  <c r="M28" i="4"/>
  <c r="P28" i="4" s="1"/>
  <c r="M13" i="4"/>
  <c r="P13" i="4" s="1"/>
  <c r="P33" i="4"/>
  <c r="M22" i="4"/>
  <c r="M55" i="4"/>
  <c r="P57" i="4"/>
  <c r="N333" i="1"/>
  <c r="K132" i="2"/>
  <c r="K285" i="2"/>
  <c r="K402" i="2"/>
  <c r="I493" i="1"/>
  <c r="K493" i="1" s="1"/>
  <c r="K493" i="2"/>
  <c r="L535" i="1"/>
  <c r="L32" i="2"/>
  <c r="O535" i="2"/>
  <c r="L564" i="1"/>
  <c r="O564" i="2"/>
  <c r="J593" i="1"/>
  <c r="K593" i="2"/>
  <c r="N644" i="2"/>
  <c r="N640" i="2" s="1"/>
  <c r="N638" i="2" s="1"/>
  <c r="N636" i="2" s="1"/>
  <c r="P144" i="3"/>
  <c r="M142" i="3"/>
  <c r="K423" i="3"/>
  <c r="I423" i="1"/>
  <c r="K435" i="3"/>
  <c r="I435" i="1"/>
  <c r="O536" i="3"/>
  <c r="L33" i="3"/>
  <c r="O33" i="3" s="1"/>
  <c r="L536" i="1"/>
  <c r="K635" i="3"/>
  <c r="J635" i="1"/>
  <c r="K668" i="3"/>
  <c r="I668" i="1"/>
  <c r="K668" i="1" s="1"/>
  <c r="M220" i="2"/>
  <c r="P29" i="5"/>
  <c r="M28" i="5"/>
  <c r="P28" i="5" s="1"/>
  <c r="I164" i="1"/>
  <c r="O67" i="2"/>
  <c r="P141" i="2"/>
  <c r="M140" i="2"/>
  <c r="O19" i="3"/>
  <c r="N15" i="3"/>
  <c r="N19" i="3"/>
  <c r="P98" i="3"/>
  <c r="K350" i="3"/>
  <c r="I350" i="1"/>
  <c r="K371" i="3"/>
  <c r="I371" i="1"/>
  <c r="K455" i="3"/>
  <c r="I455" i="1"/>
  <c r="O565" i="3"/>
  <c r="L565" i="1"/>
  <c r="L31" i="3"/>
  <c r="L11" i="3" s="1"/>
  <c r="O581" i="3"/>
  <c r="L581" i="1"/>
  <c r="O581" i="1" s="1"/>
  <c r="L19" i="4"/>
  <c r="O21" i="4"/>
  <c r="P24" i="4"/>
  <c r="M14" i="4"/>
  <c r="P14" i="4" s="1"/>
  <c r="I430" i="1"/>
  <c r="K430" i="2"/>
  <c r="L33" i="2"/>
  <c r="O33" i="2" s="1"/>
  <c r="O126" i="2"/>
  <c r="L26" i="2"/>
  <c r="N438" i="1"/>
  <c r="N33" i="2"/>
  <c r="N13" i="2" s="1"/>
  <c r="I477" i="1"/>
  <c r="K477" i="1" s="1"/>
  <c r="K477" i="2"/>
  <c r="K622" i="2"/>
  <c r="K634" i="2"/>
  <c r="N96" i="3"/>
  <c r="N94" i="3" s="1"/>
  <c r="K173" i="3"/>
  <c r="P254" i="3"/>
  <c r="M252" i="3"/>
  <c r="K420" i="3"/>
  <c r="K431" i="3"/>
  <c r="I431" i="1"/>
  <c r="K451" i="3"/>
  <c r="I451" i="1"/>
  <c r="K470" i="3"/>
  <c r="I470" i="1"/>
  <c r="K470" i="1" s="1"/>
  <c r="K486" i="3"/>
  <c r="I486" i="1"/>
  <c r="K486" i="1" s="1"/>
  <c r="K502" i="3"/>
  <c r="I502" i="1"/>
  <c r="K502" i="1" s="1"/>
  <c r="K597" i="3"/>
  <c r="I597" i="1"/>
  <c r="N644" i="3"/>
  <c r="N640" i="3" s="1"/>
  <c r="N638" i="3" s="1"/>
  <c r="N636" i="3" s="1"/>
  <c r="K665" i="3"/>
  <c r="I665" i="1"/>
  <c r="N43" i="2"/>
  <c r="P43" i="2" s="1"/>
  <c r="I367" i="2"/>
  <c r="K367" i="2" s="1"/>
  <c r="K611" i="2"/>
  <c r="K619" i="2"/>
  <c r="M43" i="3"/>
  <c r="M102" i="3"/>
  <c r="M118" i="3"/>
  <c r="K612" i="3"/>
  <c r="M19" i="4"/>
  <c r="N22" i="4"/>
  <c r="M66" i="4"/>
  <c r="P66" i="4" s="1"/>
  <c r="L70" i="4"/>
  <c r="O19" i="6"/>
  <c r="M15" i="2"/>
  <c r="P15" i="2" s="1"/>
  <c r="P34" i="2"/>
  <c r="M310" i="2"/>
  <c r="K617" i="2"/>
  <c r="L15" i="3"/>
  <c r="O15" i="3" s="1"/>
  <c r="N22" i="3"/>
  <c r="L24" i="3"/>
  <c r="K618" i="3"/>
  <c r="L26" i="4"/>
  <c r="P31" i="4"/>
  <c r="K613" i="3"/>
  <c r="O67" i="4"/>
  <c r="K615" i="2"/>
  <c r="L26" i="3"/>
  <c r="M337" i="3"/>
  <c r="K616" i="3"/>
  <c r="M41" i="2"/>
  <c r="M120" i="2"/>
  <c r="M273" i="2"/>
  <c r="N312" i="2"/>
  <c r="P312" i="2" s="1"/>
  <c r="K618" i="2"/>
  <c r="I367" i="3"/>
  <c r="K367" i="3" s="1"/>
  <c r="K611" i="3"/>
  <c r="K619" i="3"/>
  <c r="M11" i="4"/>
  <c r="P45" i="4"/>
  <c r="M11" i="2"/>
  <c r="M14" i="3"/>
  <c r="P14" i="3" s="1"/>
  <c r="K614" i="3"/>
  <c r="O19" i="5"/>
  <c r="M66" i="6"/>
  <c r="P66" i="6" s="1"/>
  <c r="P68" i="6"/>
  <c r="K625" i="4"/>
  <c r="M13" i="5"/>
  <c r="P13" i="5" s="1"/>
  <c r="P32" i="5"/>
  <c r="N43" i="5"/>
  <c r="N41" i="5" s="1"/>
  <c r="M140" i="5"/>
  <c r="K615" i="5"/>
  <c r="K623" i="5"/>
  <c r="M55" i="6"/>
  <c r="P70" i="6"/>
  <c r="M96" i="6"/>
  <c r="M94" i="6" s="1"/>
  <c r="O291" i="6"/>
  <c r="M28" i="8"/>
  <c r="P28" i="8" s="1"/>
  <c r="M222" i="4"/>
  <c r="M68" i="5"/>
  <c r="M120" i="5"/>
  <c r="M273" i="5"/>
  <c r="K618" i="5"/>
  <c r="K626" i="5"/>
  <c r="M30" i="6"/>
  <c r="M49" i="6"/>
  <c r="N96" i="6"/>
  <c r="N94" i="6" s="1"/>
  <c r="K201" i="6"/>
  <c r="P251" i="6"/>
  <c r="P275" i="6"/>
  <c r="K349" i="6"/>
  <c r="M310" i="4"/>
  <c r="P310" i="4" s="1"/>
  <c r="K623" i="4"/>
  <c r="M55" i="5"/>
  <c r="K613" i="5"/>
  <c r="K249" i="6"/>
  <c r="M118" i="4"/>
  <c r="M271" i="4"/>
  <c r="M292" i="4"/>
  <c r="K626" i="4"/>
  <c r="P31" i="5"/>
  <c r="N142" i="5"/>
  <c r="P142" i="5" s="1"/>
  <c r="M337" i="5"/>
  <c r="P337" i="5" s="1"/>
  <c r="K616" i="5"/>
  <c r="K624" i="5"/>
  <c r="P272" i="6"/>
  <c r="M271" i="6"/>
  <c r="K369" i="6"/>
  <c r="I367" i="6"/>
  <c r="K367" i="6" s="1"/>
  <c r="M140" i="4"/>
  <c r="K613" i="4"/>
  <c r="K621" i="4"/>
  <c r="L640" i="4"/>
  <c r="I367" i="5"/>
  <c r="K367" i="5" s="1"/>
  <c r="K611" i="5"/>
  <c r="K619" i="5"/>
  <c r="M11" i="6"/>
  <c r="L122" i="6"/>
  <c r="K138" i="6"/>
  <c r="K158" i="6"/>
  <c r="O221" i="6"/>
  <c r="P224" i="6"/>
  <c r="K229" i="6"/>
  <c r="L275" i="6"/>
  <c r="K285" i="6"/>
  <c r="O330" i="6"/>
  <c r="O383" i="6"/>
  <c r="K614" i="5"/>
  <c r="K622" i="5"/>
  <c r="I367" i="4"/>
  <c r="K367" i="4" s="1"/>
  <c r="K611" i="4"/>
  <c r="M11" i="5"/>
  <c r="M310" i="5"/>
  <c r="P310" i="5" s="1"/>
  <c r="K617" i="5"/>
  <c r="M13" i="6"/>
  <c r="P13" i="6" s="1"/>
  <c r="O251" i="6"/>
  <c r="P254" i="6"/>
  <c r="M252" i="6"/>
  <c r="L333" i="6"/>
  <c r="P29" i="7"/>
  <c r="M28" i="7"/>
  <c r="P28" i="7" s="1"/>
  <c r="P144" i="6"/>
  <c r="P333" i="6"/>
  <c r="K618" i="6"/>
  <c r="K626" i="6"/>
  <c r="L26" i="7"/>
  <c r="M30" i="7"/>
  <c r="P30" i="7" s="1"/>
  <c r="P31" i="7"/>
  <c r="P98" i="7"/>
  <c r="P144" i="7"/>
  <c r="P254" i="7"/>
  <c r="K614" i="7"/>
  <c r="K620" i="7"/>
  <c r="P95" i="8"/>
  <c r="P122" i="8"/>
  <c r="K589" i="8"/>
  <c r="K109" i="9"/>
  <c r="K381" i="9"/>
  <c r="K474" i="9"/>
  <c r="K547" i="9"/>
  <c r="M140" i="10"/>
  <c r="K613" i="6"/>
  <c r="M250" i="8"/>
  <c r="O291" i="8"/>
  <c r="P54" i="9"/>
  <c r="P311" i="9"/>
  <c r="K402" i="9"/>
  <c r="P9" i="13"/>
  <c r="K616" i="6"/>
  <c r="O649" i="6"/>
  <c r="N26" i="7"/>
  <c r="N16" i="7" s="1"/>
  <c r="M49" i="8"/>
  <c r="L26" i="8"/>
  <c r="P54" i="8"/>
  <c r="M53" i="8"/>
  <c r="P254" i="8"/>
  <c r="N252" i="8"/>
  <c r="M19" i="9"/>
  <c r="P21" i="9"/>
  <c r="M11" i="9"/>
  <c r="O74" i="9"/>
  <c r="M74" i="9"/>
  <c r="M68" i="9" s="1"/>
  <c r="O272" i="9"/>
  <c r="K611" i="6"/>
  <c r="K619" i="6"/>
  <c r="M11" i="7"/>
  <c r="L34" i="7"/>
  <c r="M331" i="7"/>
  <c r="O601" i="7"/>
  <c r="K621" i="7"/>
  <c r="K634" i="7"/>
  <c r="L19" i="8"/>
  <c r="P29" i="8"/>
  <c r="M120" i="8"/>
  <c r="K164" i="8"/>
  <c r="K199" i="9"/>
  <c r="L24" i="9"/>
  <c r="L314" i="9"/>
  <c r="N32" i="9"/>
  <c r="N30" i="9" s="1"/>
  <c r="O535" i="9"/>
  <c r="K614" i="6"/>
  <c r="K622" i="6"/>
  <c r="M43" i="7"/>
  <c r="P45" i="7"/>
  <c r="M118" i="7"/>
  <c r="M292" i="7"/>
  <c r="P9" i="8"/>
  <c r="P23" i="8"/>
  <c r="M13" i="8"/>
  <c r="P13" i="8" s="1"/>
  <c r="M22" i="8"/>
  <c r="O49" i="8"/>
  <c r="O54" i="8"/>
  <c r="L23" i="9"/>
  <c r="O648" i="10"/>
  <c r="L640" i="10"/>
  <c r="K617" i="6"/>
  <c r="M13" i="7"/>
  <c r="P13" i="7" s="1"/>
  <c r="N43" i="7"/>
  <c r="N41" i="7" s="1"/>
  <c r="M140" i="7"/>
  <c r="M250" i="7"/>
  <c r="P250" i="7" s="1"/>
  <c r="K618" i="7"/>
  <c r="K617" i="7"/>
  <c r="K613" i="7"/>
  <c r="K619" i="7"/>
  <c r="K635" i="7"/>
  <c r="M30" i="8"/>
  <c r="P30" i="8" s="1"/>
  <c r="P32" i="8"/>
  <c r="P57" i="8"/>
  <c r="P330" i="8"/>
  <c r="K350" i="8"/>
  <c r="K630" i="8"/>
  <c r="M28" i="9"/>
  <c r="P28" i="9" s="1"/>
  <c r="P30" i="9"/>
  <c r="K82" i="9"/>
  <c r="K612" i="6"/>
  <c r="K626" i="7"/>
  <c r="K625" i="7"/>
  <c r="K622" i="7"/>
  <c r="L640" i="7"/>
  <c r="O119" i="9"/>
  <c r="M22" i="9"/>
  <c r="P224" i="9"/>
  <c r="M222" i="9"/>
  <c r="L33" i="9"/>
  <c r="O33" i="9" s="1"/>
  <c r="O384" i="9"/>
  <c r="P275" i="11"/>
  <c r="M273" i="11"/>
  <c r="M310" i="6"/>
  <c r="M15" i="7"/>
  <c r="P15" i="7" s="1"/>
  <c r="M55" i="7"/>
  <c r="K611" i="7"/>
  <c r="L15" i="8"/>
  <c r="O15" i="8" s="1"/>
  <c r="L24" i="8"/>
  <c r="P45" i="8"/>
  <c r="K117" i="8"/>
  <c r="P144" i="8"/>
  <c r="K665" i="8"/>
  <c r="N26" i="9"/>
  <c r="N16" i="9" s="1"/>
  <c r="K427" i="9"/>
  <c r="O568" i="9"/>
  <c r="N120" i="9"/>
  <c r="N118" i="9" s="1"/>
  <c r="N273" i="9"/>
  <c r="N271" i="9" s="1"/>
  <c r="I367" i="9"/>
  <c r="K367" i="9" s="1"/>
  <c r="O383" i="9"/>
  <c r="M19" i="10"/>
  <c r="P21" i="10"/>
  <c r="M11" i="10"/>
  <c r="L26" i="10"/>
  <c r="P29" i="10"/>
  <c r="M28" i="10"/>
  <c r="P28" i="10" s="1"/>
  <c r="P311" i="10"/>
  <c r="L34" i="10"/>
  <c r="O537" i="10"/>
  <c r="P23" i="11"/>
  <c r="M13" i="11"/>
  <c r="P13" i="11" s="1"/>
  <c r="N22" i="11"/>
  <c r="N43" i="11"/>
  <c r="P43" i="11" s="1"/>
  <c r="P45" i="11"/>
  <c r="K425" i="11"/>
  <c r="K547" i="11"/>
  <c r="N33" i="11"/>
  <c r="N13" i="11" s="1"/>
  <c r="K613" i="8"/>
  <c r="K621" i="8"/>
  <c r="L640" i="8"/>
  <c r="N43" i="10"/>
  <c r="N41" i="10" s="1"/>
  <c r="O49" i="10"/>
  <c r="O74" i="10"/>
  <c r="M74" i="10"/>
  <c r="M68" i="10" s="1"/>
  <c r="M250" i="10"/>
  <c r="P250" i="10" s="1"/>
  <c r="P252" i="10"/>
  <c r="L31" i="10"/>
  <c r="O351" i="10"/>
  <c r="O566" i="10"/>
  <c r="L32" i="10"/>
  <c r="J671" i="10"/>
  <c r="K113" i="11"/>
  <c r="N252" i="11"/>
  <c r="N250" i="11" s="1"/>
  <c r="L34" i="11"/>
  <c r="O382" i="11"/>
  <c r="L31" i="11"/>
  <c r="K591" i="11"/>
  <c r="O648" i="9"/>
  <c r="L640" i="9"/>
  <c r="O272" i="10"/>
  <c r="O649" i="11"/>
  <c r="L640" i="11"/>
  <c r="N644" i="9"/>
  <c r="N640" i="9" s="1"/>
  <c r="N638" i="9" s="1"/>
  <c r="N636" i="9" s="1"/>
  <c r="P54" i="10"/>
  <c r="M53" i="10"/>
  <c r="O19" i="11"/>
  <c r="P57" i="11"/>
  <c r="M55" i="11"/>
  <c r="M22" i="11"/>
  <c r="M220" i="11"/>
  <c r="O553" i="11"/>
  <c r="L32" i="11"/>
  <c r="M222" i="8"/>
  <c r="M43" i="9"/>
  <c r="M118" i="9"/>
  <c r="M271" i="9"/>
  <c r="M292" i="9"/>
  <c r="P224" i="10"/>
  <c r="M222" i="10"/>
  <c r="P19" i="11"/>
  <c r="P70" i="11"/>
  <c r="M68" i="11"/>
  <c r="K464" i="11"/>
  <c r="M13" i="9"/>
  <c r="P13" i="9" s="1"/>
  <c r="M55" i="9"/>
  <c r="M140" i="9"/>
  <c r="O537" i="9"/>
  <c r="K628" i="9"/>
  <c r="K580" i="10"/>
  <c r="P9" i="11"/>
  <c r="M30" i="11"/>
  <c r="P30" i="11" s="1"/>
  <c r="P32" i="11"/>
  <c r="O221" i="11"/>
  <c r="O352" i="11"/>
  <c r="K376" i="11"/>
  <c r="K397" i="11"/>
  <c r="K417" i="11"/>
  <c r="L23" i="10"/>
  <c r="O119" i="10"/>
  <c r="N32" i="10"/>
  <c r="N30" i="10" s="1"/>
  <c r="O383" i="10"/>
  <c r="P122" i="11"/>
  <c r="M120" i="11"/>
  <c r="K615" i="9"/>
  <c r="N19" i="10"/>
  <c r="N273" i="10"/>
  <c r="N271" i="10" s="1"/>
  <c r="K371" i="10"/>
  <c r="K613" i="10"/>
  <c r="K621" i="10"/>
  <c r="O49" i="11"/>
  <c r="P224" i="11"/>
  <c r="O354" i="11"/>
  <c r="K617" i="11"/>
  <c r="L24" i="12"/>
  <c r="K613" i="9"/>
  <c r="K611" i="10"/>
  <c r="K619" i="10"/>
  <c r="P21" i="11"/>
  <c r="M29" i="11"/>
  <c r="M140" i="11"/>
  <c r="M250" i="11"/>
  <c r="P250" i="11" s="1"/>
  <c r="K615" i="11"/>
  <c r="K623" i="11"/>
  <c r="K80" i="12"/>
  <c r="K235" i="12"/>
  <c r="M9" i="14"/>
  <c r="P11" i="14"/>
  <c r="K622" i="10"/>
  <c r="P29" i="12"/>
  <c r="M28" i="12"/>
  <c r="P28" i="12" s="1"/>
  <c r="P122" i="12"/>
  <c r="M120" i="12"/>
  <c r="K611" i="9"/>
  <c r="K619" i="9"/>
  <c r="K617" i="10"/>
  <c r="K625" i="10"/>
  <c r="K613" i="11"/>
  <c r="L45" i="12"/>
  <c r="O74" i="12"/>
  <c r="M43" i="10"/>
  <c r="M271" i="10"/>
  <c r="K612" i="10"/>
  <c r="K620" i="10"/>
  <c r="N96" i="11"/>
  <c r="N94" i="11" s="1"/>
  <c r="N142" i="11"/>
  <c r="N140" i="11" s="1"/>
  <c r="P31" i="12"/>
  <c r="K88" i="12"/>
  <c r="L122" i="12"/>
  <c r="M220" i="12"/>
  <c r="P54" i="12"/>
  <c r="P224" i="12"/>
  <c r="N222" i="12"/>
  <c r="P222" i="12" s="1"/>
  <c r="N22" i="12"/>
  <c r="M26" i="12"/>
  <c r="P337" i="12"/>
  <c r="P21" i="12"/>
  <c r="M11" i="12"/>
  <c r="M19" i="12"/>
  <c r="P95" i="12"/>
  <c r="L98" i="12"/>
  <c r="O221" i="12"/>
  <c r="O337" i="12"/>
  <c r="K614" i="12"/>
  <c r="K622" i="12"/>
  <c r="N644" i="12"/>
  <c r="N640" i="12" s="1"/>
  <c r="N638" i="12" s="1"/>
  <c r="N636" i="12" s="1"/>
  <c r="L31" i="13"/>
  <c r="L11" i="13" s="1"/>
  <c r="M102" i="13"/>
  <c r="P102" i="13" s="1"/>
  <c r="M118" i="13"/>
  <c r="K618" i="13"/>
  <c r="M19" i="14"/>
  <c r="N26" i="14"/>
  <c r="N16" i="14" s="1"/>
  <c r="K64" i="14"/>
  <c r="K173" i="14"/>
  <c r="O272" i="14"/>
  <c r="P311" i="14"/>
  <c r="K340" i="14"/>
  <c r="M331" i="12"/>
  <c r="K617" i="12"/>
  <c r="L19" i="13"/>
  <c r="M312" i="13"/>
  <c r="K613" i="13"/>
  <c r="L640" i="13"/>
  <c r="P30" i="14"/>
  <c r="K199" i="14"/>
  <c r="L31" i="14"/>
  <c r="O351" i="14"/>
  <c r="K429" i="14"/>
  <c r="P23" i="15"/>
  <c r="M13" i="15"/>
  <c r="P13" i="15" s="1"/>
  <c r="O54" i="15"/>
  <c r="P11" i="13"/>
  <c r="M28" i="13"/>
  <c r="P28" i="13" s="1"/>
  <c r="O102" i="13"/>
  <c r="P21" i="14"/>
  <c r="O67" i="14"/>
  <c r="O648" i="14"/>
  <c r="L640" i="14"/>
  <c r="M312" i="12"/>
  <c r="K615" i="12"/>
  <c r="K623" i="12"/>
  <c r="M55" i="13"/>
  <c r="M142" i="13"/>
  <c r="M252" i="13"/>
  <c r="I367" i="13"/>
  <c r="K367" i="13" s="1"/>
  <c r="K611" i="13"/>
  <c r="K619" i="13"/>
  <c r="N22" i="14"/>
  <c r="P54" i="14"/>
  <c r="P337" i="14"/>
  <c r="M331" i="14"/>
  <c r="M273" i="12"/>
  <c r="K618" i="12"/>
  <c r="K626" i="12"/>
  <c r="O650" i="12"/>
  <c r="M49" i="13"/>
  <c r="M43" i="13" s="1"/>
  <c r="K614" i="13"/>
  <c r="L23" i="14"/>
  <c r="P95" i="14"/>
  <c r="M94" i="14"/>
  <c r="P94" i="14" s="1"/>
  <c r="K176" i="14"/>
  <c r="L32" i="14"/>
  <c r="O566" i="14"/>
  <c r="O19" i="15"/>
  <c r="K613" i="12"/>
  <c r="L23" i="13"/>
  <c r="M329" i="13"/>
  <c r="K617" i="13"/>
  <c r="P23" i="14"/>
  <c r="M13" i="14"/>
  <c r="P13" i="14" s="1"/>
  <c r="M120" i="14"/>
  <c r="P122" i="14"/>
  <c r="M22" i="14"/>
  <c r="L224" i="14"/>
  <c r="M290" i="13"/>
  <c r="P290" i="13" s="1"/>
  <c r="O25" i="14"/>
  <c r="P45" i="14"/>
  <c r="O119" i="14"/>
  <c r="M271" i="14"/>
  <c r="K564" i="14"/>
  <c r="M30" i="15"/>
  <c r="P30" i="15" s="1"/>
  <c r="P32" i="15"/>
  <c r="P57" i="15"/>
  <c r="M55" i="15"/>
  <c r="O42" i="14"/>
  <c r="O354" i="15"/>
  <c r="N34" i="15"/>
  <c r="N14" i="15" s="1"/>
  <c r="P275" i="14"/>
  <c r="K613" i="14"/>
  <c r="K621" i="14"/>
  <c r="L23" i="15"/>
  <c r="P45" i="15"/>
  <c r="N68" i="15"/>
  <c r="L23" i="16"/>
  <c r="M55" i="14"/>
  <c r="I367" i="14"/>
  <c r="K367" i="14" s="1"/>
  <c r="K611" i="14"/>
  <c r="K619" i="14"/>
  <c r="M29" i="15"/>
  <c r="L34" i="15"/>
  <c r="M43" i="15"/>
  <c r="K65" i="15"/>
  <c r="K624" i="15"/>
  <c r="K621" i="15"/>
  <c r="K626" i="15"/>
  <c r="K623" i="15"/>
  <c r="K620" i="15"/>
  <c r="K625" i="15"/>
  <c r="M55" i="16"/>
  <c r="P57" i="16"/>
  <c r="K622" i="14"/>
  <c r="K617" i="14"/>
  <c r="K625" i="14"/>
  <c r="O298" i="15"/>
  <c r="L314" i="15"/>
  <c r="M292" i="14"/>
  <c r="N331" i="14"/>
  <c r="N329" i="14" s="1"/>
  <c r="K620" i="14"/>
  <c r="M19" i="15"/>
  <c r="M271" i="15"/>
  <c r="P271" i="15" s="1"/>
  <c r="P273" i="15"/>
  <c r="O54" i="16"/>
  <c r="L314" i="16"/>
  <c r="L24" i="16"/>
  <c r="M250" i="14"/>
  <c r="K623" i="14"/>
  <c r="M15" i="15"/>
  <c r="M118" i="15"/>
  <c r="P118" i="15" s="1"/>
  <c r="P120" i="15"/>
  <c r="P311" i="15"/>
  <c r="M252" i="16"/>
  <c r="P254" i="16"/>
  <c r="M66" i="14"/>
  <c r="M68" i="15"/>
  <c r="P70" i="15"/>
  <c r="O102" i="15"/>
  <c r="M102" i="15"/>
  <c r="P224" i="15"/>
  <c r="M222" i="15"/>
  <c r="L250" i="15"/>
  <c r="O272" i="15"/>
  <c r="P122" i="15"/>
  <c r="P275" i="15"/>
  <c r="I367" i="15"/>
  <c r="K367" i="15" s="1"/>
  <c r="O42" i="16"/>
  <c r="P45" i="16"/>
  <c r="M68" i="16"/>
  <c r="P68" i="16" s="1"/>
  <c r="K189" i="16"/>
  <c r="K270" i="16"/>
  <c r="P333" i="16"/>
  <c r="M331" i="16"/>
  <c r="M329" i="15"/>
  <c r="O21" i="16"/>
  <c r="L19" i="16"/>
  <c r="P224" i="16"/>
  <c r="M222" i="16"/>
  <c r="O251" i="16"/>
  <c r="P19" i="17"/>
  <c r="N43" i="17"/>
  <c r="N41" i="17" s="1"/>
  <c r="P45" i="17"/>
  <c r="N22" i="17"/>
  <c r="O49" i="16"/>
  <c r="M49" i="16"/>
  <c r="M43" i="16" s="1"/>
  <c r="L26" i="16"/>
  <c r="O272" i="16"/>
  <c r="P275" i="16"/>
  <c r="O330" i="16"/>
  <c r="O141" i="16"/>
  <c r="L224" i="16"/>
  <c r="P272" i="16"/>
  <c r="M271" i="16"/>
  <c r="M22" i="16"/>
  <c r="P311" i="16"/>
  <c r="M310" i="16"/>
  <c r="P310" i="16" s="1"/>
  <c r="M140" i="15"/>
  <c r="M250" i="15"/>
  <c r="M312" i="15"/>
  <c r="P312" i="15" s="1"/>
  <c r="P24" i="16"/>
  <c r="M14" i="16"/>
  <c r="P14" i="16" s="1"/>
  <c r="P42" i="16"/>
  <c r="N43" i="16"/>
  <c r="N41" i="16" s="1"/>
  <c r="N96" i="16"/>
  <c r="N94" i="16" s="1"/>
  <c r="O119" i="16"/>
  <c r="M290" i="16"/>
  <c r="P290" i="16" s="1"/>
  <c r="P292" i="16"/>
  <c r="N331" i="16"/>
  <c r="N329" i="16" s="1"/>
  <c r="O337" i="16"/>
  <c r="P119" i="16"/>
  <c r="P42" i="17"/>
  <c r="M13" i="16"/>
  <c r="P13" i="16" s="1"/>
  <c r="N34" i="16"/>
  <c r="K617" i="16"/>
  <c r="K619" i="16"/>
  <c r="K611" i="16"/>
  <c r="K616" i="16"/>
  <c r="K622" i="16"/>
  <c r="M22" i="17"/>
  <c r="L57" i="17"/>
  <c r="K88" i="17"/>
  <c r="K249" i="17"/>
  <c r="P141" i="17"/>
  <c r="M140" i="17"/>
  <c r="N312" i="17"/>
  <c r="N310" i="17" s="1"/>
  <c r="K623" i="16"/>
  <c r="K626" i="16"/>
  <c r="M15" i="17"/>
  <c r="O19" i="17"/>
  <c r="P23" i="17"/>
  <c r="M13" i="17"/>
  <c r="P13" i="17" s="1"/>
  <c r="M30" i="17"/>
  <c r="P32" i="17"/>
  <c r="O42" i="17"/>
  <c r="K80" i="17"/>
  <c r="K109" i="17"/>
  <c r="P251" i="17"/>
  <c r="M250" i="17"/>
  <c r="M271" i="17"/>
  <c r="P271" i="17" s="1"/>
  <c r="P273" i="17"/>
  <c r="O19" i="18"/>
  <c r="P54" i="17"/>
  <c r="M53" i="17"/>
  <c r="O74" i="17"/>
  <c r="M74" i="17"/>
  <c r="P74" i="17" s="1"/>
  <c r="P95" i="17"/>
  <c r="M118" i="17"/>
  <c r="K615" i="16"/>
  <c r="K618" i="16"/>
  <c r="K621" i="16"/>
  <c r="K634" i="16"/>
  <c r="M49" i="17"/>
  <c r="L26" i="17"/>
  <c r="K81" i="17"/>
  <c r="O119" i="17"/>
  <c r="P294" i="17"/>
  <c r="M292" i="17"/>
  <c r="P333" i="17"/>
  <c r="N331" i="17"/>
  <c r="N329" i="17" s="1"/>
  <c r="M43" i="18"/>
  <c r="P49" i="18"/>
  <c r="L640" i="16"/>
  <c r="I367" i="17"/>
  <c r="K367" i="17" s="1"/>
  <c r="K611" i="17"/>
  <c r="K619" i="17"/>
  <c r="M29" i="18"/>
  <c r="M74" i="18"/>
  <c r="O221" i="18"/>
  <c r="P275" i="18"/>
  <c r="M273" i="18"/>
  <c r="K622" i="17"/>
  <c r="P122" i="18"/>
  <c r="M120" i="18"/>
  <c r="K617" i="17"/>
  <c r="K625" i="17"/>
  <c r="M13" i="18"/>
  <c r="P13" i="18" s="1"/>
  <c r="P32" i="18"/>
  <c r="P70" i="18"/>
  <c r="O119" i="18"/>
  <c r="O272" i="18"/>
  <c r="P311" i="18"/>
  <c r="M310" i="18"/>
  <c r="P310" i="18" s="1"/>
  <c r="P337" i="18"/>
  <c r="M331" i="18"/>
  <c r="O383" i="18"/>
  <c r="K612" i="17"/>
  <c r="K620" i="17"/>
  <c r="M19" i="18"/>
  <c r="N22" i="18"/>
  <c r="N68" i="18"/>
  <c r="N66" i="18" s="1"/>
  <c r="P144" i="18"/>
  <c r="K615" i="17"/>
  <c r="K623" i="17"/>
  <c r="M15" i="18"/>
  <c r="P34" i="18"/>
  <c r="P141" i="18"/>
  <c r="K618" i="17"/>
  <c r="K626" i="17"/>
  <c r="L26" i="18"/>
  <c r="K173" i="18"/>
  <c r="K613" i="17"/>
  <c r="K621" i="17"/>
  <c r="L23" i="18"/>
  <c r="P95" i="18"/>
  <c r="M94" i="18"/>
  <c r="P94" i="18" s="1"/>
  <c r="P57" i="18"/>
  <c r="M55" i="18"/>
  <c r="P224" i="18"/>
  <c r="M222" i="18"/>
  <c r="O19" i="19"/>
  <c r="K626" i="18"/>
  <c r="O49" i="19"/>
  <c r="P144" i="19"/>
  <c r="M142" i="19"/>
  <c r="P221" i="19"/>
  <c r="M220" i="19"/>
  <c r="P272" i="19"/>
  <c r="O554" i="20"/>
  <c r="L33" i="20"/>
  <c r="O33" i="20" s="1"/>
  <c r="K371" i="18"/>
  <c r="K613" i="18"/>
  <c r="K621" i="18"/>
  <c r="L640" i="18"/>
  <c r="L57" i="19"/>
  <c r="O141" i="19"/>
  <c r="K573" i="19"/>
  <c r="P45" i="21"/>
  <c r="M22" i="21"/>
  <c r="P45" i="19"/>
  <c r="M43" i="19"/>
  <c r="L23" i="20"/>
  <c r="L45" i="20"/>
  <c r="P24" i="21"/>
  <c r="M14" i="21"/>
  <c r="P14" i="21" s="1"/>
  <c r="K611" i="18"/>
  <c r="P32" i="19"/>
  <c r="N22" i="19"/>
  <c r="M290" i="19"/>
  <c r="P290" i="19" s="1"/>
  <c r="P292" i="19"/>
  <c r="K622" i="18"/>
  <c r="M26" i="19"/>
  <c r="P57" i="19"/>
  <c r="P119" i="19"/>
  <c r="P254" i="19"/>
  <c r="M252" i="19"/>
  <c r="K625" i="18"/>
  <c r="M22" i="19"/>
  <c r="N26" i="19"/>
  <c r="N16" i="19" s="1"/>
  <c r="N53" i="19"/>
  <c r="K65" i="19"/>
  <c r="K158" i="19"/>
  <c r="O251" i="19"/>
  <c r="K328" i="19"/>
  <c r="P333" i="19"/>
  <c r="M331" i="19"/>
  <c r="L23" i="19"/>
  <c r="P31" i="19"/>
  <c r="M29" i="19"/>
  <c r="P224" i="19"/>
  <c r="N222" i="19"/>
  <c r="L33" i="19"/>
  <c r="O33" i="19" s="1"/>
  <c r="O353" i="19"/>
  <c r="O599" i="19"/>
  <c r="N32" i="19"/>
  <c r="N30" i="19" s="1"/>
  <c r="M11" i="19"/>
  <c r="P21" i="19"/>
  <c r="L34" i="19"/>
  <c r="M53" i="19"/>
  <c r="M94" i="19"/>
  <c r="P94" i="19" s="1"/>
  <c r="K497" i="20"/>
  <c r="O597" i="19"/>
  <c r="M29" i="20"/>
  <c r="M11" i="20"/>
  <c r="P31" i="20"/>
  <c r="K369" i="20"/>
  <c r="I367" i="20"/>
  <c r="K367" i="20" s="1"/>
  <c r="O568" i="20"/>
  <c r="O584" i="20"/>
  <c r="K612" i="19"/>
  <c r="N644" i="19"/>
  <c r="N640" i="19" s="1"/>
  <c r="N638" i="19" s="1"/>
  <c r="N636" i="19" s="1"/>
  <c r="M53" i="20"/>
  <c r="L32" i="20"/>
  <c r="O383" i="20"/>
  <c r="K619" i="20"/>
  <c r="K618" i="20"/>
  <c r="K615" i="20"/>
  <c r="K612" i="20"/>
  <c r="K617" i="20"/>
  <c r="K614" i="20"/>
  <c r="K611" i="20"/>
  <c r="K616" i="20"/>
  <c r="O19" i="20"/>
  <c r="L294" i="20"/>
  <c r="O311" i="20"/>
  <c r="P98" i="20"/>
  <c r="M96" i="20"/>
  <c r="K149" i="20"/>
  <c r="P291" i="20"/>
  <c r="N32" i="20"/>
  <c r="N30" i="20" s="1"/>
  <c r="K614" i="19"/>
  <c r="K619" i="19"/>
  <c r="K611" i="19"/>
  <c r="K616" i="19"/>
  <c r="K618" i="19"/>
  <c r="K615" i="19"/>
  <c r="K617" i="19"/>
  <c r="N26" i="20"/>
  <c r="N16" i="20" s="1"/>
  <c r="N222" i="20"/>
  <c r="N220" i="20" s="1"/>
  <c r="O337" i="20"/>
  <c r="L26" i="20"/>
  <c r="M337" i="20"/>
  <c r="K398" i="20"/>
  <c r="O457" i="20"/>
  <c r="L31" i="20"/>
  <c r="O534" i="20"/>
  <c r="N142" i="20"/>
  <c r="P142" i="20" s="1"/>
  <c r="N252" i="20"/>
  <c r="P252" i="20" s="1"/>
  <c r="N19" i="20"/>
  <c r="K622" i="20"/>
  <c r="N644" i="20"/>
  <c r="N640" i="20" s="1"/>
  <c r="N638" i="20" s="1"/>
  <c r="N636" i="20" s="1"/>
  <c r="L24" i="21"/>
  <c r="K626" i="19"/>
  <c r="O650" i="19"/>
  <c r="K625" i="20"/>
  <c r="P42" i="21"/>
  <c r="M53" i="21"/>
  <c r="O95" i="21"/>
  <c r="K112" i="21"/>
  <c r="P29" i="21"/>
  <c r="M28" i="21"/>
  <c r="P28" i="21" s="1"/>
  <c r="O49" i="21"/>
  <c r="M49" i="21"/>
  <c r="P67" i="21"/>
  <c r="M292" i="20"/>
  <c r="P292" i="20" s="1"/>
  <c r="L640" i="20"/>
  <c r="P21" i="21"/>
  <c r="M11" i="21"/>
  <c r="N43" i="21"/>
  <c r="N41" i="21" s="1"/>
  <c r="N26" i="21"/>
  <c r="N16" i="21" s="1"/>
  <c r="L70" i="21"/>
  <c r="M140" i="20"/>
  <c r="M250" i="20"/>
  <c r="M312" i="20"/>
  <c r="P119" i="21"/>
  <c r="M43" i="20"/>
  <c r="K628" i="20"/>
  <c r="O54" i="21"/>
  <c r="L122" i="21"/>
  <c r="K614" i="21"/>
  <c r="K622" i="21"/>
  <c r="N644" i="21"/>
  <c r="N640" i="21" s="1"/>
  <c r="N638" i="21" s="1"/>
  <c r="N636" i="21" s="1"/>
  <c r="O354" i="21"/>
  <c r="M222" i="21"/>
  <c r="K612" i="21"/>
  <c r="M310" i="21"/>
  <c r="P310" i="21" s="1"/>
  <c r="M331" i="21"/>
  <c r="K615" i="21"/>
  <c r="K623" i="21"/>
  <c r="M271" i="21"/>
  <c r="K618" i="21"/>
  <c r="K626" i="21"/>
  <c r="O650" i="21"/>
  <c r="K613" i="21"/>
  <c r="L312" i="17" l="1"/>
  <c r="O333" i="9"/>
  <c r="L331" i="12"/>
  <c r="O331" i="12" s="1"/>
  <c r="P22" i="3"/>
  <c r="L252" i="2"/>
  <c r="L250" i="2" s="1"/>
  <c r="L273" i="14"/>
  <c r="O273" i="14" s="1"/>
  <c r="L68" i="20"/>
  <c r="O68" i="20" s="1"/>
  <c r="O333" i="18"/>
  <c r="L142" i="14"/>
  <c r="O142" i="14" s="1"/>
  <c r="K328" i="1"/>
  <c r="L252" i="12"/>
  <c r="O252" i="12" s="1"/>
  <c r="O254" i="5"/>
  <c r="K249" i="1"/>
  <c r="L331" i="15"/>
  <c r="O98" i="6"/>
  <c r="L29" i="7"/>
  <c r="O29" i="7" s="1"/>
  <c r="K428" i="1"/>
  <c r="L120" i="7"/>
  <c r="O120" i="7" s="1"/>
  <c r="K424" i="1"/>
  <c r="K398" i="1"/>
  <c r="N271" i="4"/>
  <c r="N37" i="4" s="1"/>
  <c r="O599" i="1"/>
  <c r="K215" i="1"/>
  <c r="M66" i="13"/>
  <c r="P66" i="13" s="1"/>
  <c r="N140" i="15"/>
  <c r="O140" i="15" s="1"/>
  <c r="O142" i="15"/>
  <c r="O34" i="21"/>
  <c r="K219" i="1"/>
  <c r="P140" i="10"/>
  <c r="M66" i="2"/>
  <c r="P66" i="2" s="1"/>
  <c r="O49" i="1"/>
  <c r="O533" i="1"/>
  <c r="P140" i="18"/>
  <c r="L96" i="19"/>
  <c r="O96" i="19" s="1"/>
  <c r="K431" i="1"/>
  <c r="K464" i="1"/>
  <c r="O45" i="5"/>
  <c r="P118" i="13"/>
  <c r="L331" i="4"/>
  <c r="O331" i="4" s="1"/>
  <c r="L55" i="16"/>
  <c r="O55" i="16" s="1"/>
  <c r="K81" i="1"/>
  <c r="P312" i="19"/>
  <c r="O294" i="13"/>
  <c r="P120" i="7"/>
  <c r="O294" i="18"/>
  <c r="P120" i="13"/>
  <c r="O314" i="11"/>
  <c r="N140" i="17"/>
  <c r="P140" i="17" s="1"/>
  <c r="O142" i="17"/>
  <c r="K547" i="1"/>
  <c r="K564" i="1"/>
  <c r="M310" i="9"/>
  <c r="P310" i="9" s="1"/>
  <c r="P66" i="20"/>
  <c r="O55" i="15"/>
  <c r="O564" i="1"/>
  <c r="L55" i="20"/>
  <c r="L53" i="20" s="1"/>
  <c r="O53" i="20" s="1"/>
  <c r="L273" i="17"/>
  <c r="O273" i="17" s="1"/>
  <c r="P271" i="13"/>
  <c r="O34" i="7"/>
  <c r="K451" i="1"/>
  <c r="K270" i="1"/>
  <c r="O254" i="15"/>
  <c r="L55" i="12"/>
  <c r="O55" i="12" s="1"/>
  <c r="P222" i="5"/>
  <c r="O70" i="12"/>
  <c r="L43" i="19"/>
  <c r="L41" i="19" s="1"/>
  <c r="O144" i="15"/>
  <c r="O406" i="1"/>
  <c r="N12" i="21"/>
  <c r="N10" i="21" s="1"/>
  <c r="L43" i="16"/>
  <c r="L41" i="16" s="1"/>
  <c r="O41" i="16" s="1"/>
  <c r="O222" i="5"/>
  <c r="N28" i="21"/>
  <c r="P43" i="19"/>
  <c r="L252" i="17"/>
  <c r="O252" i="17" s="1"/>
  <c r="L312" i="6"/>
  <c r="O312" i="6" s="1"/>
  <c r="L14" i="17"/>
  <c r="O14" i="17" s="1"/>
  <c r="O314" i="5"/>
  <c r="N20" i="2"/>
  <c r="N18" i="2" s="1"/>
  <c r="O32" i="21"/>
  <c r="K481" i="1"/>
  <c r="P142" i="9"/>
  <c r="L43" i="4"/>
  <c r="O43" i="4" s="1"/>
  <c r="O96" i="10"/>
  <c r="L312" i="3"/>
  <c r="O312" i="3" s="1"/>
  <c r="P94" i="10"/>
  <c r="K381" i="1"/>
  <c r="K370" i="1"/>
  <c r="L43" i="9"/>
  <c r="L41" i="9" s="1"/>
  <c r="O41" i="9" s="1"/>
  <c r="L96" i="18"/>
  <c r="O96" i="18" s="1"/>
  <c r="K264" i="1"/>
  <c r="O98" i="17"/>
  <c r="O224" i="12"/>
  <c r="L120" i="3"/>
  <c r="L118" i="3" s="1"/>
  <c r="K65" i="1"/>
  <c r="K109" i="1"/>
  <c r="P273" i="21"/>
  <c r="L252" i="21"/>
  <c r="L250" i="21" s="1"/>
  <c r="O250" i="21" s="1"/>
  <c r="O224" i="11"/>
  <c r="O122" i="4"/>
  <c r="K85" i="1"/>
  <c r="K289" i="1"/>
  <c r="P98" i="1"/>
  <c r="K285" i="1"/>
  <c r="O34" i="18"/>
  <c r="O333" i="14"/>
  <c r="L43" i="6"/>
  <c r="O43" i="6" s="1"/>
  <c r="L30" i="21"/>
  <c r="O30" i="21" s="1"/>
  <c r="O224" i="17"/>
  <c r="M310" i="14"/>
  <c r="P310" i="14" s="1"/>
  <c r="L55" i="3"/>
  <c r="L53" i="3" s="1"/>
  <c r="K173" i="1"/>
  <c r="K110" i="1"/>
  <c r="P142" i="14"/>
  <c r="O671" i="1"/>
  <c r="P271" i="21"/>
  <c r="K573" i="1"/>
  <c r="O437" i="1"/>
  <c r="P122" i="1"/>
  <c r="K615" i="1"/>
  <c r="N11" i="14"/>
  <c r="N9" i="14" s="1"/>
  <c r="L68" i="9"/>
  <c r="L66" i="9" s="1"/>
  <c r="O66" i="9" s="1"/>
  <c r="O16" i="5"/>
  <c r="L222" i="7"/>
  <c r="O222" i="7" s="1"/>
  <c r="K368" i="1"/>
  <c r="L273" i="3"/>
  <c r="L271" i="3" s="1"/>
  <c r="K113" i="1"/>
  <c r="O537" i="1"/>
  <c r="O98" i="15"/>
  <c r="P142" i="8"/>
  <c r="O31" i="9"/>
  <c r="L292" i="5"/>
  <c r="O292" i="5" s="1"/>
  <c r="P22" i="6"/>
  <c r="O459" i="1"/>
  <c r="L14" i="18"/>
  <c r="O14" i="18" s="1"/>
  <c r="N43" i="1"/>
  <c r="N41" i="1" s="1"/>
  <c r="K376" i="1"/>
  <c r="L292" i="7"/>
  <c r="O292" i="7" s="1"/>
  <c r="L273" i="9"/>
  <c r="L271" i="9" s="1"/>
  <c r="O271" i="9" s="1"/>
  <c r="L55" i="9"/>
  <c r="L53" i="9" s="1"/>
  <c r="O53" i="9" s="1"/>
  <c r="P43" i="3"/>
  <c r="O337" i="1"/>
  <c r="P250" i="21"/>
  <c r="O57" i="21"/>
  <c r="L68" i="19"/>
  <c r="L66" i="19" s="1"/>
  <c r="O66" i="19" s="1"/>
  <c r="L273" i="15"/>
  <c r="O273" i="15" s="1"/>
  <c r="P43" i="12"/>
  <c r="O140" i="8"/>
  <c r="K421" i="1"/>
  <c r="O30" i="7"/>
  <c r="K64" i="1"/>
  <c r="P275" i="1"/>
  <c r="M290" i="15"/>
  <c r="P290" i="15" s="1"/>
  <c r="P43" i="13"/>
  <c r="L13" i="11"/>
  <c r="O13" i="11" s="1"/>
  <c r="O26" i="5"/>
  <c r="N12" i="7"/>
  <c r="K419" i="1"/>
  <c r="P45" i="1"/>
  <c r="L142" i="12"/>
  <c r="O142" i="12" s="1"/>
  <c r="L252" i="4"/>
  <c r="O252" i="4" s="1"/>
  <c r="L68" i="2"/>
  <c r="L66" i="2" s="1"/>
  <c r="O66" i="2" s="1"/>
  <c r="N29" i="12"/>
  <c r="K88" i="1"/>
  <c r="K117" i="1"/>
  <c r="L331" i="21"/>
  <c r="O331" i="21" s="1"/>
  <c r="L292" i="15"/>
  <c r="O292" i="15" s="1"/>
  <c r="L331" i="7"/>
  <c r="O331" i="7" s="1"/>
  <c r="L55" i="6"/>
  <c r="L53" i="6" s="1"/>
  <c r="O53" i="6" s="1"/>
  <c r="O566" i="1"/>
  <c r="K201" i="1"/>
  <c r="L68" i="15"/>
  <c r="L66" i="15" s="1"/>
  <c r="L312" i="12"/>
  <c r="O312" i="12" s="1"/>
  <c r="P140" i="4"/>
  <c r="K498" i="1"/>
  <c r="P254" i="1"/>
  <c r="K474" i="1"/>
  <c r="O333" i="20"/>
  <c r="O70" i="18"/>
  <c r="L120" i="17"/>
  <c r="O120" i="17" s="1"/>
  <c r="O70" i="8"/>
  <c r="O582" i="1"/>
  <c r="M66" i="21"/>
  <c r="P66" i="21" s="1"/>
  <c r="L331" i="17"/>
  <c r="L329" i="17" s="1"/>
  <c r="O329" i="17" s="1"/>
  <c r="O96" i="17"/>
  <c r="P142" i="4"/>
  <c r="K372" i="1"/>
  <c r="O98" i="21"/>
  <c r="O254" i="20"/>
  <c r="P102" i="11"/>
  <c r="O333" i="11"/>
  <c r="L120" i="18"/>
  <c r="O120" i="18" s="1"/>
  <c r="L312" i="18"/>
  <c r="O312" i="18" s="1"/>
  <c r="K132" i="1"/>
  <c r="L43" i="10"/>
  <c r="O43" i="10" s="1"/>
  <c r="L55" i="5"/>
  <c r="L53" i="5" s="1"/>
  <c r="O53" i="5" s="1"/>
  <c r="K429" i="1"/>
  <c r="L273" i="20"/>
  <c r="O273" i="20" s="1"/>
  <c r="L222" i="20"/>
  <c r="L220" i="20" s="1"/>
  <c r="O220" i="20" s="1"/>
  <c r="P250" i="14"/>
  <c r="O254" i="3"/>
  <c r="N310" i="6"/>
  <c r="P310" i="6" s="1"/>
  <c r="O144" i="5"/>
  <c r="P292" i="6"/>
  <c r="L96" i="3"/>
  <c r="L94" i="3" s="1"/>
  <c r="O94" i="3" s="1"/>
  <c r="M20" i="12"/>
  <c r="M18" i="12" s="1"/>
  <c r="P55" i="6"/>
  <c r="P252" i="14"/>
  <c r="O45" i="15"/>
  <c r="K324" i="1"/>
  <c r="K418" i="1"/>
  <c r="K112" i="1"/>
  <c r="K266" i="1"/>
  <c r="O55" i="2"/>
  <c r="K375" i="1"/>
  <c r="K200" i="1"/>
  <c r="P140" i="7"/>
  <c r="K618" i="1"/>
  <c r="L142" i="19"/>
  <c r="L140" i="19" s="1"/>
  <c r="O140" i="19" s="1"/>
  <c r="O252" i="15"/>
  <c r="N250" i="15"/>
  <c r="O250" i="15" s="1"/>
  <c r="L252" i="6"/>
  <c r="L250" i="6" s="1"/>
  <c r="O250" i="6" s="1"/>
  <c r="O45" i="2"/>
  <c r="N28" i="11"/>
  <c r="P273" i="20"/>
  <c r="K613" i="1"/>
  <c r="N29" i="15"/>
  <c r="N28" i="15" s="1"/>
  <c r="K380" i="1"/>
  <c r="M290" i="21"/>
  <c r="P290" i="21" s="1"/>
  <c r="L120" i="20"/>
  <c r="L118" i="20" s="1"/>
  <c r="O142" i="9"/>
  <c r="P96" i="21"/>
  <c r="L312" i="20"/>
  <c r="O312" i="20" s="1"/>
  <c r="L331" i="19"/>
  <c r="O331" i="19" s="1"/>
  <c r="L120" i="5"/>
  <c r="O120" i="5" s="1"/>
  <c r="L312" i="2"/>
  <c r="O312" i="2" s="1"/>
  <c r="P55" i="2"/>
  <c r="N329" i="13"/>
  <c r="P329" i="13" s="1"/>
  <c r="K634" i="1"/>
  <c r="N29" i="16"/>
  <c r="O597" i="1"/>
  <c r="K189" i="1"/>
  <c r="N55" i="1"/>
  <c r="N53" i="1" s="1"/>
  <c r="K349" i="1"/>
  <c r="K425" i="1"/>
  <c r="N28" i="16"/>
  <c r="L120" i="13"/>
  <c r="L118" i="13" s="1"/>
  <c r="O118" i="13" s="1"/>
  <c r="L96" i="11"/>
  <c r="O96" i="11" s="1"/>
  <c r="O144" i="9"/>
  <c r="O294" i="8"/>
  <c r="L312" i="4"/>
  <c r="L310" i="4" s="1"/>
  <c r="O310" i="4" s="1"/>
  <c r="K665" i="1"/>
  <c r="O601" i="1"/>
  <c r="L142" i="2"/>
  <c r="L140" i="2" s="1"/>
  <c r="P140" i="21"/>
  <c r="O383" i="1"/>
  <c r="K377" i="1"/>
  <c r="P142" i="18"/>
  <c r="M290" i="12"/>
  <c r="P290" i="12" s="1"/>
  <c r="O224" i="10"/>
  <c r="P142" i="7"/>
  <c r="K635" i="1"/>
  <c r="O57" i="2"/>
  <c r="O34" i="5"/>
  <c r="O455" i="1"/>
  <c r="K204" i="1"/>
  <c r="P144" i="1"/>
  <c r="K397" i="1"/>
  <c r="O30" i="6"/>
  <c r="K186" i="1"/>
  <c r="K340" i="1"/>
  <c r="K216" i="1"/>
  <c r="O457" i="1"/>
  <c r="K432" i="1"/>
  <c r="K84" i="1"/>
  <c r="P22" i="10"/>
  <c r="K465" i="1"/>
  <c r="L292" i="17"/>
  <c r="O292" i="17" s="1"/>
  <c r="O555" i="1"/>
  <c r="P66" i="8"/>
  <c r="O649" i="1"/>
  <c r="N11" i="5"/>
  <c r="N9" i="5" s="1"/>
  <c r="O45" i="21"/>
  <c r="K628" i="1"/>
  <c r="L68" i="16"/>
  <c r="O68" i="16" s="1"/>
  <c r="K199" i="1"/>
  <c r="O98" i="10"/>
  <c r="M290" i="8"/>
  <c r="P290" i="8" s="1"/>
  <c r="K430" i="1"/>
  <c r="P55" i="4"/>
  <c r="K533" i="1"/>
  <c r="K80" i="1"/>
  <c r="K560" i="1"/>
  <c r="O292" i="6"/>
  <c r="K86" i="1"/>
  <c r="M118" i="19"/>
  <c r="P118" i="19" s="1"/>
  <c r="P55" i="20"/>
  <c r="P252" i="18"/>
  <c r="P222" i="17"/>
  <c r="K427" i="1"/>
  <c r="O648" i="1"/>
  <c r="K87" i="1"/>
  <c r="N28" i="5"/>
  <c r="L312" i="7"/>
  <c r="L310" i="7" s="1"/>
  <c r="O310" i="7" s="1"/>
  <c r="M94" i="4"/>
  <c r="P94" i="4" s="1"/>
  <c r="P68" i="12"/>
  <c r="K497" i="1"/>
  <c r="K614" i="1"/>
  <c r="K551" i="1"/>
  <c r="K235" i="1"/>
  <c r="O102" i="1"/>
  <c r="P94" i="21"/>
  <c r="O144" i="20"/>
  <c r="L292" i="14"/>
  <c r="O292" i="14" s="1"/>
  <c r="O120" i="4"/>
  <c r="K616" i="1"/>
  <c r="K83" i="1"/>
  <c r="P70" i="1"/>
  <c r="K343" i="1"/>
  <c r="M94" i="8"/>
  <c r="P94" i="8" s="1"/>
  <c r="K164" i="1"/>
  <c r="K619" i="1"/>
  <c r="O222" i="2"/>
  <c r="P57" i="1"/>
  <c r="K499" i="1"/>
  <c r="P120" i="4"/>
  <c r="K341" i="1"/>
  <c r="P53" i="19"/>
  <c r="P142" i="12"/>
  <c r="K611" i="1"/>
  <c r="L96" i="4"/>
  <c r="O96" i="4" s="1"/>
  <c r="O349" i="1"/>
  <c r="P250" i="5"/>
  <c r="O222" i="18"/>
  <c r="L68" i="13"/>
  <c r="L66" i="13" s="1"/>
  <c r="O66" i="13" s="1"/>
  <c r="P273" i="13"/>
  <c r="O98" i="9"/>
  <c r="N11" i="11"/>
  <c r="N9" i="11" s="1"/>
  <c r="K435" i="1"/>
  <c r="O347" i="1"/>
  <c r="O352" i="1"/>
  <c r="O401" i="1"/>
  <c r="K92" i="1"/>
  <c r="L292" i="21"/>
  <c r="O292" i="21" s="1"/>
  <c r="O333" i="16"/>
  <c r="P252" i="6"/>
  <c r="P222" i="2"/>
  <c r="O535" i="1"/>
  <c r="K617" i="1"/>
  <c r="K449" i="1"/>
  <c r="N28" i="7"/>
  <c r="O74" i="1"/>
  <c r="K426" i="1"/>
  <c r="K82" i="1"/>
  <c r="O142" i="21"/>
  <c r="L140" i="21"/>
  <c r="O140" i="21" s="1"/>
  <c r="N11" i="18"/>
  <c r="N9" i="18" s="1"/>
  <c r="K149" i="1"/>
  <c r="K345" i="1"/>
  <c r="N20" i="10"/>
  <c r="N18" i="10" s="1"/>
  <c r="N11" i="7"/>
  <c r="N9" i="7" s="1"/>
  <c r="O275" i="21"/>
  <c r="O224" i="18"/>
  <c r="L94" i="17"/>
  <c r="O94" i="17" s="1"/>
  <c r="L292" i="16"/>
  <c r="O292" i="16" s="1"/>
  <c r="L120" i="14"/>
  <c r="O224" i="13"/>
  <c r="O252" i="8"/>
  <c r="L252" i="7"/>
  <c r="O252" i="7" s="1"/>
  <c r="K593" i="1"/>
  <c r="O70" i="3"/>
  <c r="O26" i="6"/>
  <c r="O53" i="18"/>
  <c r="L28" i="18"/>
  <c r="K229" i="1"/>
  <c r="K396" i="1"/>
  <c r="K612" i="1"/>
  <c r="L11" i="2"/>
  <c r="L9" i="2" s="1"/>
  <c r="O26" i="12"/>
  <c r="L273" i="12"/>
  <c r="O273" i="12" s="1"/>
  <c r="L142" i="11"/>
  <c r="O142" i="11" s="1"/>
  <c r="L222" i="6"/>
  <c r="L220" i="6" s="1"/>
  <c r="O220" i="6" s="1"/>
  <c r="M290" i="3"/>
  <c r="P290" i="3" s="1"/>
  <c r="O26" i="13"/>
  <c r="O32" i="5"/>
  <c r="O34" i="12"/>
  <c r="K401" i="1"/>
  <c r="K580" i="1"/>
  <c r="P294" i="1"/>
  <c r="N29" i="6"/>
  <c r="N28" i="6" s="1"/>
  <c r="O380" i="1"/>
  <c r="O144" i="8"/>
  <c r="P68" i="20"/>
  <c r="P55" i="18"/>
  <c r="L43" i="18"/>
  <c r="O43" i="18" s="1"/>
  <c r="P273" i="14"/>
  <c r="L273" i="11"/>
  <c r="O273" i="11" s="1"/>
  <c r="L331" i="8"/>
  <c r="L329" i="8" s="1"/>
  <c r="O329" i="8" s="1"/>
  <c r="L55" i="7"/>
  <c r="L53" i="7" s="1"/>
  <c r="O53" i="7" s="1"/>
  <c r="O142" i="8"/>
  <c r="O16" i="12"/>
  <c r="N20" i="8"/>
  <c r="N18" i="8" s="1"/>
  <c r="K213" i="1"/>
  <c r="O144" i="21"/>
  <c r="N11" i="19"/>
  <c r="N9" i="19" s="1"/>
  <c r="L13" i="21"/>
  <c r="O13" i="21" s="1"/>
  <c r="N28" i="19"/>
  <c r="O144" i="17"/>
  <c r="P271" i="14"/>
  <c r="O254" i="8"/>
  <c r="L120" i="8"/>
  <c r="L118" i="8" s="1"/>
  <c r="O118" i="8" s="1"/>
  <c r="P94" i="6"/>
  <c r="O31" i="2"/>
  <c r="P222" i="7"/>
  <c r="N20" i="6"/>
  <c r="N18" i="6" s="1"/>
  <c r="K306" i="1"/>
  <c r="L310" i="5"/>
  <c r="O310" i="5" s="1"/>
  <c r="L329" i="12"/>
  <c r="O329" i="12" s="1"/>
  <c r="K265" i="1"/>
  <c r="K138" i="1"/>
  <c r="O30" i="13"/>
  <c r="O30" i="16"/>
  <c r="O665" i="1"/>
  <c r="K473" i="1"/>
  <c r="O354" i="1"/>
  <c r="J651" i="1"/>
  <c r="K651" i="1" s="1"/>
  <c r="O638" i="6"/>
  <c r="P220" i="7"/>
  <c r="K350" i="1"/>
  <c r="L142" i="3"/>
  <c r="O142" i="3" s="1"/>
  <c r="N28" i="8"/>
  <c r="K185" i="1"/>
  <c r="P53" i="20"/>
  <c r="L252" i="19"/>
  <c r="O252" i="19" s="1"/>
  <c r="L55" i="10"/>
  <c r="L53" i="10" s="1"/>
  <c r="M271" i="20"/>
  <c r="P271" i="20" s="1"/>
  <c r="L312" i="19"/>
  <c r="L310" i="19" s="1"/>
  <c r="O310" i="19" s="1"/>
  <c r="L252" i="14"/>
  <c r="L250" i="14" s="1"/>
  <c r="O250" i="14" s="1"/>
  <c r="N11" i="13"/>
  <c r="N9" i="13" s="1"/>
  <c r="L55" i="11"/>
  <c r="O55" i="11" s="1"/>
  <c r="L331" i="10"/>
  <c r="O331" i="10" s="1"/>
  <c r="L273" i="10"/>
  <c r="L271" i="10" s="1"/>
  <c r="O271" i="10" s="1"/>
  <c r="L14" i="10"/>
  <c r="O14" i="10" s="1"/>
  <c r="O254" i="9"/>
  <c r="L636" i="6"/>
  <c r="O636" i="6" s="1"/>
  <c r="P68" i="8"/>
  <c r="L96" i="8"/>
  <c r="O96" i="8" s="1"/>
  <c r="L220" i="2"/>
  <c r="O220" i="2" s="1"/>
  <c r="L222" i="4"/>
  <c r="O222" i="4" s="1"/>
  <c r="O224" i="5"/>
  <c r="O636" i="3"/>
  <c r="O333" i="2"/>
  <c r="P22" i="7"/>
  <c r="P142" i="6"/>
  <c r="P222" i="6"/>
  <c r="K420" i="1"/>
  <c r="O34" i="13"/>
  <c r="N26" i="1"/>
  <c r="N16" i="1" s="1"/>
  <c r="L273" i="18"/>
  <c r="O273" i="18" s="1"/>
  <c r="O24" i="18"/>
  <c r="M310" i="17"/>
  <c r="P310" i="17" s="1"/>
  <c r="L273" i="16"/>
  <c r="O273" i="16" s="1"/>
  <c r="P140" i="9"/>
  <c r="M66" i="7"/>
  <c r="P66" i="7" s="1"/>
  <c r="O640" i="6"/>
  <c r="O294" i="6"/>
  <c r="L14" i="5"/>
  <c r="O14" i="5" s="1"/>
  <c r="L96" i="7"/>
  <c r="O96" i="7" s="1"/>
  <c r="K597" i="1"/>
  <c r="L222" i="3"/>
  <c r="L220" i="3" s="1"/>
  <c r="O220" i="3" s="1"/>
  <c r="K423" i="1"/>
  <c r="L120" i="2"/>
  <c r="L118" i="2" s="1"/>
  <c r="O118" i="2" s="1"/>
  <c r="K648" i="1"/>
  <c r="O580" i="1"/>
  <c r="O32" i="16"/>
  <c r="P142" i="2"/>
  <c r="O294" i="11"/>
  <c r="N28" i="17"/>
  <c r="K309" i="1"/>
  <c r="O34" i="6"/>
  <c r="O30" i="18"/>
  <c r="O98" i="20"/>
  <c r="N118" i="17"/>
  <c r="L140" i="17"/>
  <c r="P250" i="17"/>
  <c r="L68" i="17"/>
  <c r="O68" i="17" s="1"/>
  <c r="O144" i="16"/>
  <c r="L120" i="15"/>
  <c r="O120" i="15" s="1"/>
  <c r="L292" i="10"/>
  <c r="O292" i="10" s="1"/>
  <c r="L43" i="8"/>
  <c r="L41" i="8" s="1"/>
  <c r="L142" i="6"/>
  <c r="O142" i="6" s="1"/>
  <c r="L331" i="5"/>
  <c r="O331" i="5" s="1"/>
  <c r="P49" i="5"/>
  <c r="N11" i="2"/>
  <c r="N9" i="2" s="1"/>
  <c r="L14" i="4"/>
  <c r="O14" i="4" s="1"/>
  <c r="N11" i="21"/>
  <c r="N9" i="21" s="1"/>
  <c r="N12" i="16"/>
  <c r="N10" i="16" s="1"/>
  <c r="N8" i="16" s="1"/>
  <c r="P220" i="6"/>
  <c r="O34" i="9"/>
  <c r="K591" i="1"/>
  <c r="K417" i="1"/>
  <c r="P252" i="17"/>
  <c r="O32" i="4"/>
  <c r="M118" i="16"/>
  <c r="P118" i="16" s="1"/>
  <c r="O224" i="2"/>
  <c r="O34" i="14"/>
  <c r="L222" i="21"/>
  <c r="O222" i="21" s="1"/>
  <c r="P220" i="20"/>
  <c r="L290" i="18"/>
  <c r="O290" i="18" s="1"/>
  <c r="L252" i="18"/>
  <c r="O252" i="18" s="1"/>
  <c r="O57" i="14"/>
  <c r="P55" i="11"/>
  <c r="O70" i="10"/>
  <c r="O57" i="8"/>
  <c r="L142" i="7"/>
  <c r="O142" i="7" s="1"/>
  <c r="K629" i="1"/>
  <c r="P252" i="5"/>
  <c r="O30" i="4"/>
  <c r="N28" i="4"/>
  <c r="K304" i="1"/>
  <c r="O32" i="17"/>
  <c r="K422" i="1"/>
  <c r="O661" i="1"/>
  <c r="O568" i="1"/>
  <c r="O222" i="13"/>
  <c r="M12" i="7"/>
  <c r="P22" i="20"/>
  <c r="P273" i="16"/>
  <c r="P252" i="21"/>
  <c r="P55" i="21"/>
  <c r="O640" i="15"/>
  <c r="P96" i="10"/>
  <c r="L222" i="8"/>
  <c r="O222" i="8" s="1"/>
  <c r="L273" i="13"/>
  <c r="L271" i="13" s="1"/>
  <c r="O271" i="13" s="1"/>
  <c r="N28" i="20"/>
  <c r="O331" i="20"/>
  <c r="M250" i="12"/>
  <c r="P250" i="12" s="1"/>
  <c r="O57" i="15"/>
  <c r="O98" i="13"/>
  <c r="O144" i="13"/>
  <c r="M310" i="11"/>
  <c r="P310" i="11" s="1"/>
  <c r="L13" i="7"/>
  <c r="O13" i="7" s="1"/>
  <c r="O53" i="8"/>
  <c r="L13" i="4"/>
  <c r="O13" i="4" s="1"/>
  <c r="O640" i="3"/>
  <c r="O98" i="5"/>
  <c r="K589" i="1"/>
  <c r="P220" i="3"/>
  <c r="O34" i="20"/>
  <c r="O30" i="3"/>
  <c r="O96" i="21"/>
  <c r="L144" i="1"/>
  <c r="O144" i="1" s="1"/>
  <c r="P331" i="9"/>
  <c r="K595" i="1"/>
  <c r="P55" i="7"/>
  <c r="P271" i="16"/>
  <c r="O16" i="14"/>
  <c r="L43" i="14"/>
  <c r="L41" i="14" s="1"/>
  <c r="O41" i="14" s="1"/>
  <c r="M331" i="10"/>
  <c r="P331" i="10" s="1"/>
  <c r="O34" i="11"/>
  <c r="L16" i="13"/>
  <c r="O16" i="13" s="1"/>
  <c r="L222" i="9"/>
  <c r="O222" i="9" s="1"/>
  <c r="K450" i="1"/>
  <c r="P55" i="8"/>
  <c r="N12" i="13"/>
  <c r="N10" i="13" s="1"/>
  <c r="P220" i="14"/>
  <c r="K482" i="1"/>
  <c r="L22" i="5"/>
  <c r="O22" i="5" s="1"/>
  <c r="O435" i="1"/>
  <c r="O30" i="5"/>
  <c r="P292" i="18"/>
  <c r="L22" i="18"/>
  <c r="O22" i="18" s="1"/>
  <c r="L312" i="13"/>
  <c r="O312" i="13" s="1"/>
  <c r="L252" i="13"/>
  <c r="O252" i="13" s="1"/>
  <c r="L13" i="12"/>
  <c r="O13" i="12" s="1"/>
  <c r="L312" i="10"/>
  <c r="L310" i="10" s="1"/>
  <c r="O310" i="10" s="1"/>
  <c r="L252" i="11"/>
  <c r="L250" i="11" s="1"/>
  <c r="O250" i="11" s="1"/>
  <c r="P53" i="8"/>
  <c r="L292" i="4"/>
  <c r="O292" i="4" s="1"/>
  <c r="L142" i="4"/>
  <c r="O142" i="4" s="1"/>
  <c r="K455" i="1"/>
  <c r="L273" i="5"/>
  <c r="N53" i="10"/>
  <c r="P53" i="10" s="1"/>
  <c r="K133" i="1"/>
  <c r="L30" i="17"/>
  <c r="O30" i="17" s="1"/>
  <c r="N11" i="17"/>
  <c r="N9" i="17" s="1"/>
  <c r="N28" i="13"/>
  <c r="O68" i="11"/>
  <c r="K663" i="1"/>
  <c r="N12" i="8"/>
  <c r="N10" i="8" s="1"/>
  <c r="L11" i="7"/>
  <c r="K267" i="1"/>
  <c r="O651" i="1"/>
  <c r="P314" i="1"/>
  <c r="O55" i="21"/>
  <c r="J671" i="1"/>
  <c r="K671" i="1" s="1"/>
  <c r="L23" i="1"/>
  <c r="O23" i="1" s="1"/>
  <c r="N11" i="20"/>
  <c r="N9" i="20" s="1"/>
  <c r="P55" i="17"/>
  <c r="N14" i="6"/>
  <c r="O551" i="1"/>
  <c r="O584" i="1"/>
  <c r="N11" i="8"/>
  <c r="N9" i="8" s="1"/>
  <c r="N34" i="1"/>
  <c r="N14" i="1" s="1"/>
  <c r="K466" i="1"/>
  <c r="N28" i="10"/>
  <c r="M250" i="9"/>
  <c r="P250" i="9" s="1"/>
  <c r="L120" i="11"/>
  <c r="O120" i="11" s="1"/>
  <c r="M290" i="5"/>
  <c r="P290" i="5" s="1"/>
  <c r="M250" i="4"/>
  <c r="P250" i="4" s="1"/>
  <c r="M12" i="6"/>
  <c r="M94" i="2"/>
  <c r="P94" i="2" s="1"/>
  <c r="L331" i="3"/>
  <c r="L329" i="3" s="1"/>
  <c r="O329" i="3" s="1"/>
  <c r="O220" i="17"/>
  <c r="O26" i="11"/>
  <c r="P222" i="3"/>
  <c r="P222" i="13"/>
  <c r="O32" i="8"/>
  <c r="O34" i="4"/>
  <c r="P224" i="1"/>
  <c r="P53" i="21"/>
  <c r="P66" i="19"/>
  <c r="P331" i="18"/>
  <c r="O331" i="16"/>
  <c r="P220" i="13"/>
  <c r="O45" i="13"/>
  <c r="O254" i="10"/>
  <c r="L250" i="9"/>
  <c r="O250" i="9" s="1"/>
  <c r="P53" i="2"/>
  <c r="N53" i="3"/>
  <c r="P53" i="3" s="1"/>
  <c r="K630" i="1"/>
  <c r="O439" i="1"/>
  <c r="L26" i="1"/>
  <c r="L16" i="1" s="1"/>
  <c r="K650" i="1"/>
  <c r="O55" i="13"/>
  <c r="N28" i="9"/>
  <c r="K632" i="1"/>
  <c r="O404" i="1"/>
  <c r="N12" i="5"/>
  <c r="P12" i="5" s="1"/>
  <c r="K402" i="1"/>
  <c r="O252" i="10"/>
  <c r="L250" i="10"/>
  <c r="O250" i="10" s="1"/>
  <c r="O43" i="13"/>
  <c r="L41" i="13"/>
  <c r="O41" i="13" s="1"/>
  <c r="N10" i="5"/>
  <c r="O96" i="20"/>
  <c r="L94" i="20"/>
  <c r="O94" i="20" s="1"/>
  <c r="O29" i="18"/>
  <c r="O31" i="16"/>
  <c r="O24" i="17"/>
  <c r="P55" i="16"/>
  <c r="P273" i="12"/>
  <c r="L220" i="13"/>
  <c r="O220" i="13" s="1"/>
  <c r="O640" i="17"/>
  <c r="L292" i="12"/>
  <c r="L290" i="12" s="1"/>
  <c r="O290" i="12" s="1"/>
  <c r="P222" i="14"/>
  <c r="N28" i="14"/>
  <c r="O70" i="11"/>
  <c r="L290" i="11"/>
  <c r="O290" i="11" s="1"/>
  <c r="P273" i="8"/>
  <c r="L28" i="7"/>
  <c r="L11" i="9"/>
  <c r="O11" i="9" s="1"/>
  <c r="P118" i="4"/>
  <c r="L273" i="4"/>
  <c r="N32" i="1"/>
  <c r="N30" i="1" s="1"/>
  <c r="P220" i="17"/>
  <c r="L29" i="15"/>
  <c r="O29" i="15" s="1"/>
  <c r="L22" i="7"/>
  <c r="L20" i="7" s="1"/>
  <c r="N20" i="5"/>
  <c r="N18" i="5" s="1"/>
  <c r="P120" i="20"/>
  <c r="P53" i="17"/>
  <c r="O32" i="7"/>
  <c r="L292" i="19"/>
  <c r="O292" i="19" s="1"/>
  <c r="L43" i="17"/>
  <c r="L41" i="17" s="1"/>
  <c r="M94" i="16"/>
  <c r="P94" i="16" s="1"/>
  <c r="L28" i="16"/>
  <c r="M310" i="8"/>
  <c r="P310" i="8" s="1"/>
  <c r="L140" i="9"/>
  <c r="O140" i="9" s="1"/>
  <c r="P271" i="8"/>
  <c r="O294" i="3"/>
  <c r="L13" i="6"/>
  <c r="O13" i="6" s="1"/>
  <c r="O57" i="13"/>
  <c r="L11" i="18"/>
  <c r="L9" i="18" s="1"/>
  <c r="O142" i="16"/>
  <c r="P222" i="11"/>
  <c r="P292" i="10"/>
  <c r="N329" i="9"/>
  <c r="P329" i="9" s="1"/>
  <c r="L273" i="7"/>
  <c r="M41" i="3"/>
  <c r="P41" i="3" s="1"/>
  <c r="O32" i="3"/>
  <c r="N31" i="1"/>
  <c r="N29" i="1" s="1"/>
  <c r="P142" i="16"/>
  <c r="P331" i="4"/>
  <c r="L94" i="21"/>
  <c r="O94" i="21" s="1"/>
  <c r="P271" i="19"/>
  <c r="L220" i="18"/>
  <c r="O220" i="18" s="1"/>
  <c r="L13" i="17"/>
  <c r="O13" i="17" s="1"/>
  <c r="L312" i="14"/>
  <c r="L310" i="14" s="1"/>
  <c r="O310" i="14" s="1"/>
  <c r="O32" i="13"/>
  <c r="P220" i="11"/>
  <c r="P118" i="7"/>
  <c r="O640" i="5"/>
  <c r="L220" i="5"/>
  <c r="O220" i="5" s="1"/>
  <c r="P96" i="6"/>
  <c r="O638" i="5"/>
  <c r="O34" i="3"/>
  <c r="N20" i="16"/>
  <c r="N18" i="16" s="1"/>
  <c r="O43" i="15"/>
  <c r="L11" i="15"/>
  <c r="N66" i="14"/>
  <c r="P66" i="14" s="1"/>
  <c r="P22" i="13"/>
  <c r="O32" i="9"/>
  <c r="N11" i="4"/>
  <c r="N9" i="4" s="1"/>
  <c r="N14" i="14"/>
  <c r="K631" i="1"/>
  <c r="P55" i="9"/>
  <c r="L312" i="21"/>
  <c r="O312" i="21" s="1"/>
  <c r="P22" i="18"/>
  <c r="O222" i="17"/>
  <c r="L11" i="16"/>
  <c r="L9" i="16" s="1"/>
  <c r="L290" i="13"/>
  <c r="O290" i="13" s="1"/>
  <c r="N12" i="9"/>
  <c r="N10" i="9" s="1"/>
  <c r="L292" i="9"/>
  <c r="O292" i="9" s="1"/>
  <c r="P55" i="5"/>
  <c r="L68" i="7"/>
  <c r="O636" i="5"/>
  <c r="L68" i="5"/>
  <c r="O68" i="5" s="1"/>
  <c r="L22" i="4"/>
  <c r="L20" i="4" s="1"/>
  <c r="L292" i="2"/>
  <c r="L290" i="2" s="1"/>
  <c r="O98" i="2"/>
  <c r="O650" i="1"/>
  <c r="O57" i="18"/>
  <c r="O32" i="12"/>
  <c r="O31" i="18"/>
  <c r="M43" i="14"/>
  <c r="P43" i="14" s="1"/>
  <c r="O68" i="12"/>
  <c r="O222" i="11"/>
  <c r="N37" i="21"/>
  <c r="L142" i="18"/>
  <c r="O142" i="18" s="1"/>
  <c r="L120" i="16"/>
  <c r="N20" i="13"/>
  <c r="N18" i="13" s="1"/>
  <c r="N11" i="9"/>
  <c r="N9" i="9" s="1"/>
  <c r="P142" i="10"/>
  <c r="O70" i="5"/>
  <c r="N33" i="1"/>
  <c r="N13" i="1" s="1"/>
  <c r="M22" i="1"/>
  <c r="M12" i="1" s="1"/>
  <c r="M26" i="14"/>
  <c r="M16" i="14" s="1"/>
  <c r="P16" i="14" s="1"/>
  <c r="N12" i="15"/>
  <c r="N10" i="15" s="1"/>
  <c r="N8" i="15" s="1"/>
  <c r="M331" i="8"/>
  <c r="O273" i="21"/>
  <c r="L271" i="21"/>
  <c r="O271" i="21" s="1"/>
  <c r="P43" i="4"/>
  <c r="M41" i="4"/>
  <c r="P41" i="4" s="1"/>
  <c r="O312" i="11"/>
  <c r="L310" i="11"/>
  <c r="O310" i="11" s="1"/>
  <c r="O29" i="17"/>
  <c r="O94" i="13"/>
  <c r="L120" i="9"/>
  <c r="L118" i="9" s="1"/>
  <c r="O118" i="9" s="1"/>
  <c r="L22" i="21"/>
  <c r="L20" i="21" s="1"/>
  <c r="O26" i="21"/>
  <c r="O55" i="18"/>
  <c r="N20" i="15"/>
  <c r="N18" i="15" s="1"/>
  <c r="L142" i="10"/>
  <c r="O142" i="10" s="1"/>
  <c r="L22" i="11"/>
  <c r="O22" i="11" s="1"/>
  <c r="O68" i="8"/>
  <c r="M310" i="7"/>
  <c r="P310" i="7" s="1"/>
  <c r="L22" i="9"/>
  <c r="O22" i="9" s="1"/>
  <c r="O70" i="6"/>
  <c r="L250" i="3"/>
  <c r="O250" i="3" s="1"/>
  <c r="L254" i="1"/>
  <c r="O254" i="1" s="1"/>
  <c r="L22" i="2"/>
  <c r="L20" i="2" s="1"/>
  <c r="L30" i="8"/>
  <c r="O30" i="8" s="1"/>
  <c r="O31" i="21"/>
  <c r="L29" i="21"/>
  <c r="O34" i="17"/>
  <c r="P252" i="2"/>
  <c r="L29" i="4"/>
  <c r="O31" i="4"/>
  <c r="P331" i="17"/>
  <c r="L98" i="1"/>
  <c r="O98" i="1" s="1"/>
  <c r="M290" i="11"/>
  <c r="P290" i="11" s="1"/>
  <c r="O142" i="13"/>
  <c r="M118" i="10"/>
  <c r="P118" i="10" s="1"/>
  <c r="L68" i="14"/>
  <c r="O55" i="14"/>
  <c r="L66" i="11"/>
  <c r="O66" i="11" s="1"/>
  <c r="L14" i="11"/>
  <c r="O14" i="11" s="1"/>
  <c r="O34" i="10"/>
  <c r="M271" i="7"/>
  <c r="P271" i="7" s="1"/>
  <c r="L16" i="6"/>
  <c r="O16" i="6" s="1"/>
  <c r="O331" i="2"/>
  <c r="M26" i="4"/>
  <c r="M20" i="4" s="1"/>
  <c r="P96" i="9"/>
  <c r="O55" i="8"/>
  <c r="N37" i="16"/>
  <c r="P142" i="21"/>
  <c r="N20" i="21"/>
  <c r="N18" i="21" s="1"/>
  <c r="M12" i="20"/>
  <c r="O224" i="19"/>
  <c r="N37" i="18"/>
  <c r="M66" i="16"/>
  <c r="P66" i="16" s="1"/>
  <c r="O53" i="14"/>
  <c r="P55" i="14"/>
  <c r="L222" i="15"/>
  <c r="N30" i="12"/>
  <c r="O30" i="12" s="1"/>
  <c r="L53" i="13"/>
  <c r="O53" i="13" s="1"/>
  <c r="O96" i="13"/>
  <c r="M94" i="12"/>
  <c r="P94" i="12" s="1"/>
  <c r="M310" i="10"/>
  <c r="P310" i="10" s="1"/>
  <c r="L30" i="9"/>
  <c r="O30" i="9" s="1"/>
  <c r="L22" i="8"/>
  <c r="O22" i="8" s="1"/>
  <c r="L43" i="7"/>
  <c r="O43" i="7" s="1"/>
  <c r="L275" i="1"/>
  <c r="O275" i="1" s="1"/>
  <c r="L13" i="8"/>
  <c r="O13" i="8" s="1"/>
  <c r="O638" i="3"/>
  <c r="P312" i="3"/>
  <c r="P49" i="4"/>
  <c r="N41" i="2"/>
  <c r="P41" i="2" s="1"/>
  <c r="O34" i="2"/>
  <c r="N11" i="10"/>
  <c r="N9" i="10" s="1"/>
  <c r="O254" i="16"/>
  <c r="L96" i="16"/>
  <c r="L94" i="16" s="1"/>
  <c r="O94" i="16" s="1"/>
  <c r="P22" i="15"/>
  <c r="L22" i="10"/>
  <c r="O22" i="10" s="1"/>
  <c r="O314" i="8"/>
  <c r="O45" i="7"/>
  <c r="P22" i="5"/>
  <c r="L640" i="1"/>
  <c r="L638" i="1" s="1"/>
  <c r="N12" i="2"/>
  <c r="N118" i="20"/>
  <c r="O31" i="17"/>
  <c r="L11" i="17"/>
  <c r="P94" i="9"/>
  <c r="L14" i="20"/>
  <c r="O14" i="20" s="1"/>
  <c r="O222" i="19"/>
  <c r="O32" i="18"/>
  <c r="L14" i="14"/>
  <c r="L14" i="13"/>
  <c r="O14" i="13" s="1"/>
  <c r="M96" i="13"/>
  <c r="P96" i="13" s="1"/>
  <c r="L250" i="12"/>
  <c r="O250" i="12" s="1"/>
  <c r="L331" i="13"/>
  <c r="O331" i="13" s="1"/>
  <c r="L22" i="13"/>
  <c r="L20" i="13" s="1"/>
  <c r="M26" i="11"/>
  <c r="M20" i="11" s="1"/>
  <c r="L16" i="11"/>
  <c r="O16" i="11" s="1"/>
  <c r="L43" i="11"/>
  <c r="L41" i="11" s="1"/>
  <c r="N37" i="7"/>
  <c r="L120" i="10"/>
  <c r="P271" i="6"/>
  <c r="P329" i="4"/>
  <c r="L290" i="3"/>
  <c r="O290" i="3" s="1"/>
  <c r="O43" i="2"/>
  <c r="L273" i="2"/>
  <c r="L271" i="2" s="1"/>
  <c r="O271" i="2" s="1"/>
  <c r="N28" i="2"/>
  <c r="L55" i="4"/>
  <c r="O32" i="6"/>
  <c r="O31" i="5"/>
  <c r="L29" i="5"/>
  <c r="L11" i="5"/>
  <c r="K633" i="1"/>
  <c r="L22" i="14"/>
  <c r="L20" i="14" s="1"/>
  <c r="M118" i="21"/>
  <c r="P118" i="21" s="1"/>
  <c r="O96" i="9"/>
  <c r="O32" i="15"/>
  <c r="L30" i="15"/>
  <c r="N12" i="6"/>
  <c r="N10" i="6" s="1"/>
  <c r="N8" i="6" s="1"/>
  <c r="O640" i="21"/>
  <c r="O16" i="21"/>
  <c r="P222" i="20"/>
  <c r="P66" i="12"/>
  <c r="P120" i="9"/>
  <c r="M53" i="6"/>
  <c r="P53" i="6" s="1"/>
  <c r="L53" i="2"/>
  <c r="O53" i="2" s="1"/>
  <c r="M53" i="4"/>
  <c r="P53" i="4" s="1"/>
  <c r="L45" i="1"/>
  <c r="O45" i="1" s="1"/>
  <c r="L41" i="2"/>
  <c r="M26" i="7"/>
  <c r="P26" i="7" s="1"/>
  <c r="N140" i="20"/>
  <c r="P140" i="20" s="1"/>
  <c r="L250" i="16"/>
  <c r="O250" i="16" s="1"/>
  <c r="O66" i="8"/>
  <c r="N329" i="15"/>
  <c r="P329" i="15" s="1"/>
  <c r="O98" i="14"/>
  <c r="L96" i="14"/>
  <c r="L29" i="12"/>
  <c r="L11" i="12"/>
  <c r="L273" i="8"/>
  <c r="O275" i="8"/>
  <c r="P120" i="6"/>
  <c r="M118" i="6"/>
  <c r="P118" i="6" s="1"/>
  <c r="P273" i="6"/>
  <c r="O142" i="20"/>
  <c r="O34" i="15"/>
  <c r="L66" i="12"/>
  <c r="O66" i="12" s="1"/>
  <c r="L94" i="9"/>
  <c r="O94" i="9" s="1"/>
  <c r="O96" i="6"/>
  <c r="O553" i="1"/>
  <c r="O275" i="19"/>
  <c r="L273" i="19"/>
  <c r="M96" i="17"/>
  <c r="P102" i="17"/>
  <c r="L29" i="6"/>
  <c r="L11" i="6"/>
  <c r="M53" i="11"/>
  <c r="P53" i="11" s="1"/>
  <c r="N94" i="1"/>
  <c r="L32" i="1"/>
  <c r="L30" i="1" s="1"/>
  <c r="M222" i="1"/>
  <c r="O43" i="5"/>
  <c r="O640" i="19"/>
  <c r="L638" i="19"/>
  <c r="O31" i="19"/>
  <c r="L29" i="19"/>
  <c r="O29" i="19" s="1"/>
  <c r="O33" i="5"/>
  <c r="L13" i="5"/>
  <c r="O13" i="5" s="1"/>
  <c r="N12" i="20"/>
  <c r="N10" i="20" s="1"/>
  <c r="L329" i="20"/>
  <c r="O329" i="20" s="1"/>
  <c r="M53" i="7"/>
  <c r="P53" i="7" s="1"/>
  <c r="L22" i="6"/>
  <c r="L20" i="6" s="1"/>
  <c r="P120" i="3"/>
  <c r="P273" i="19"/>
  <c r="P68" i="19"/>
  <c r="O26" i="15"/>
  <c r="L16" i="15"/>
  <c r="O16" i="15" s="1"/>
  <c r="N53" i="12"/>
  <c r="P53" i="12" s="1"/>
  <c r="P55" i="12"/>
  <c r="M96" i="7"/>
  <c r="O34" i="8"/>
  <c r="O24" i="6"/>
  <c r="L14" i="6"/>
  <c r="M68" i="3"/>
  <c r="M290" i="20"/>
  <c r="P290" i="20" s="1"/>
  <c r="L290" i="8"/>
  <c r="O290" i="8" s="1"/>
  <c r="L66" i="6"/>
  <c r="O66" i="6" s="1"/>
  <c r="O122" i="19"/>
  <c r="L120" i="19"/>
  <c r="N292" i="1"/>
  <c r="M331" i="11"/>
  <c r="O31" i="8"/>
  <c r="L29" i="8"/>
  <c r="L11" i="8"/>
  <c r="O11" i="8" s="1"/>
  <c r="P102" i="5"/>
  <c r="M96" i="5"/>
  <c r="P331" i="6"/>
  <c r="N329" i="6"/>
  <c r="P329" i="6" s="1"/>
  <c r="P43" i="16"/>
  <c r="M41" i="16"/>
  <c r="P96" i="20"/>
  <c r="M94" i="20"/>
  <c r="P94" i="20" s="1"/>
  <c r="P41" i="12"/>
  <c r="M41" i="10"/>
  <c r="P43" i="10"/>
  <c r="O222" i="10"/>
  <c r="L220" i="10"/>
  <c r="O220" i="10" s="1"/>
  <c r="O640" i="20"/>
  <c r="L638" i="20"/>
  <c r="L29" i="20"/>
  <c r="L11" i="20"/>
  <c r="O31" i="20"/>
  <c r="P142" i="19"/>
  <c r="M140" i="19"/>
  <c r="P140" i="19" s="1"/>
  <c r="P273" i="18"/>
  <c r="M271" i="18"/>
  <c r="P271" i="18" s="1"/>
  <c r="P222" i="21"/>
  <c r="M220" i="21"/>
  <c r="P220" i="21" s="1"/>
  <c r="O294" i="20"/>
  <c r="L292" i="20"/>
  <c r="P11" i="19"/>
  <c r="M9" i="19"/>
  <c r="M329" i="19"/>
  <c r="P329" i="19" s="1"/>
  <c r="P331" i="19"/>
  <c r="O30" i="19"/>
  <c r="L22" i="20"/>
  <c r="O45" i="20"/>
  <c r="L43" i="20"/>
  <c r="P222" i="18"/>
  <c r="M220" i="18"/>
  <c r="P220" i="18" s="1"/>
  <c r="N12" i="18"/>
  <c r="N10" i="18" s="1"/>
  <c r="N20" i="18"/>
  <c r="N18" i="18" s="1"/>
  <c r="N28" i="18"/>
  <c r="O312" i="17"/>
  <c r="L310" i="17"/>
  <c r="O310" i="17" s="1"/>
  <c r="M290" i="14"/>
  <c r="P290" i="14" s="1"/>
  <c r="P292" i="14"/>
  <c r="P29" i="15"/>
  <c r="M28" i="15"/>
  <c r="P28" i="15" s="1"/>
  <c r="O23" i="16"/>
  <c r="L13" i="16"/>
  <c r="O13" i="16" s="1"/>
  <c r="O331" i="14"/>
  <c r="L329" i="14"/>
  <c r="O329" i="14" s="1"/>
  <c r="P49" i="13"/>
  <c r="M26" i="13"/>
  <c r="L53" i="15"/>
  <c r="O53" i="15" s="1"/>
  <c r="P19" i="14"/>
  <c r="L94" i="10"/>
  <c r="O94" i="10" s="1"/>
  <c r="P96" i="11"/>
  <c r="P11" i="10"/>
  <c r="M9" i="10"/>
  <c r="P273" i="9"/>
  <c r="P43" i="7"/>
  <c r="M41" i="7"/>
  <c r="O29" i="9"/>
  <c r="N250" i="8"/>
  <c r="P250" i="8" s="1"/>
  <c r="N252" i="1"/>
  <c r="O26" i="9"/>
  <c r="N20" i="7"/>
  <c r="N18" i="7" s="1"/>
  <c r="P11" i="6"/>
  <c r="M9" i="6"/>
  <c r="L41" i="5"/>
  <c r="M118" i="2"/>
  <c r="P120" i="2"/>
  <c r="M120" i="1"/>
  <c r="O94" i="6"/>
  <c r="N20" i="4"/>
  <c r="N18" i="4" s="1"/>
  <c r="N12" i="4"/>
  <c r="N10" i="4" s="1"/>
  <c r="O19" i="4"/>
  <c r="I367" i="1"/>
  <c r="K367" i="1" s="1"/>
  <c r="K371" i="1"/>
  <c r="P220" i="2"/>
  <c r="O24" i="2"/>
  <c r="L14" i="2"/>
  <c r="O14" i="2" s="1"/>
  <c r="N329" i="2"/>
  <c r="O329" i="2" s="1"/>
  <c r="N331" i="1"/>
  <c r="L636" i="2"/>
  <c r="O636" i="2" s="1"/>
  <c r="O638" i="2"/>
  <c r="N644" i="1"/>
  <c r="N640" i="1" s="1"/>
  <c r="N638" i="1" s="1"/>
  <c r="N636" i="1" s="1"/>
  <c r="O23" i="3"/>
  <c r="L13" i="3"/>
  <c r="O13" i="3" s="1"/>
  <c r="O122" i="21"/>
  <c r="L120" i="21"/>
  <c r="M12" i="21"/>
  <c r="P22" i="21"/>
  <c r="P102" i="15"/>
  <c r="M96" i="15"/>
  <c r="M26" i="15"/>
  <c r="O31" i="14"/>
  <c r="L11" i="14"/>
  <c r="L29" i="14"/>
  <c r="L9" i="3"/>
  <c r="O11" i="3"/>
  <c r="L33" i="1"/>
  <c r="O33" i="1" s="1"/>
  <c r="O536" i="1"/>
  <c r="P49" i="21"/>
  <c r="M26" i="21"/>
  <c r="M20" i="21" s="1"/>
  <c r="L636" i="21"/>
  <c r="O636" i="21" s="1"/>
  <c r="O638" i="21"/>
  <c r="P337" i="20"/>
  <c r="M331" i="20"/>
  <c r="M26" i="20"/>
  <c r="P29" i="19"/>
  <c r="M28" i="19"/>
  <c r="P28" i="19" s="1"/>
  <c r="O11" i="19"/>
  <c r="L9" i="19"/>
  <c r="M43" i="21"/>
  <c r="O57" i="19"/>
  <c r="L55" i="19"/>
  <c r="O26" i="18"/>
  <c r="L16" i="18"/>
  <c r="O16" i="18" s="1"/>
  <c r="P120" i="18"/>
  <c r="M118" i="18"/>
  <c r="P118" i="18" s="1"/>
  <c r="L638" i="16"/>
  <c r="O640" i="16"/>
  <c r="P292" i="17"/>
  <c r="M290" i="17"/>
  <c r="P290" i="17" s="1"/>
  <c r="P49" i="17"/>
  <c r="M26" i="17"/>
  <c r="M20" i="17" s="1"/>
  <c r="M9" i="17"/>
  <c r="P15" i="17"/>
  <c r="P22" i="17"/>
  <c r="M12" i="17"/>
  <c r="M53" i="16"/>
  <c r="P53" i="16" s="1"/>
  <c r="P22" i="16"/>
  <c r="M12" i="16"/>
  <c r="L140" i="16"/>
  <c r="O140" i="16" s="1"/>
  <c r="N12" i="17"/>
  <c r="N10" i="17" s="1"/>
  <c r="N20" i="17"/>
  <c r="N18" i="17" s="1"/>
  <c r="P252" i="16"/>
  <c r="M250" i="16"/>
  <c r="P250" i="16" s="1"/>
  <c r="O331" i="15"/>
  <c r="L329" i="15"/>
  <c r="L222" i="14"/>
  <c r="O224" i="14"/>
  <c r="L224" i="1"/>
  <c r="O224" i="1" s="1"/>
  <c r="O23" i="14"/>
  <c r="L13" i="14"/>
  <c r="O13" i="14" s="1"/>
  <c r="P252" i="13"/>
  <c r="M250" i="13"/>
  <c r="P250" i="13" s="1"/>
  <c r="P9" i="14"/>
  <c r="N12" i="10"/>
  <c r="N10" i="10" s="1"/>
  <c r="M41" i="9"/>
  <c r="P43" i="9"/>
  <c r="N41" i="11"/>
  <c r="N20" i="11"/>
  <c r="N18" i="11" s="1"/>
  <c r="N12" i="11"/>
  <c r="N10" i="11" s="1"/>
  <c r="P19" i="10"/>
  <c r="P22" i="8"/>
  <c r="M12" i="8"/>
  <c r="M53" i="9"/>
  <c r="P53" i="9" s="1"/>
  <c r="O333" i="6"/>
  <c r="L331" i="6"/>
  <c r="M9" i="5"/>
  <c r="P11" i="5"/>
  <c r="L118" i="4"/>
  <c r="O118" i="4" s="1"/>
  <c r="L250" i="5"/>
  <c r="O250" i="5" s="1"/>
  <c r="O252" i="5"/>
  <c r="L14" i="7"/>
  <c r="O14" i="7" s="1"/>
  <c r="P337" i="3"/>
  <c r="M331" i="3"/>
  <c r="M337" i="1"/>
  <c r="P337" i="1" s="1"/>
  <c r="P142" i="3"/>
  <c r="M140" i="3"/>
  <c r="P140" i="3" s="1"/>
  <c r="M142" i="1"/>
  <c r="M53" i="1"/>
  <c r="K622" i="1"/>
  <c r="K624" i="1"/>
  <c r="K621" i="1"/>
  <c r="K626" i="1"/>
  <c r="K623" i="1"/>
  <c r="K625" i="1"/>
  <c r="K620" i="1"/>
  <c r="L34" i="1"/>
  <c r="O385" i="1"/>
  <c r="L294" i="1"/>
  <c r="O294" i="1" s="1"/>
  <c r="M41" i="20"/>
  <c r="P43" i="20"/>
  <c r="P15" i="18"/>
  <c r="M9" i="18"/>
  <c r="L55" i="17"/>
  <c r="L22" i="17"/>
  <c r="O57" i="17"/>
  <c r="L57" i="1"/>
  <c r="O314" i="15"/>
  <c r="L312" i="15"/>
  <c r="P120" i="8"/>
  <c r="M118" i="8"/>
  <c r="P118" i="8" s="1"/>
  <c r="M271" i="5"/>
  <c r="P271" i="5" s="1"/>
  <c r="P273" i="5"/>
  <c r="O70" i="21"/>
  <c r="L68" i="21"/>
  <c r="O252" i="20"/>
  <c r="M9" i="20"/>
  <c r="P11" i="20"/>
  <c r="O16" i="19"/>
  <c r="O43" i="21"/>
  <c r="L41" i="21"/>
  <c r="O26" i="20"/>
  <c r="L16" i="20"/>
  <c r="O16" i="20" s="1"/>
  <c r="N250" i="20"/>
  <c r="O250" i="20" s="1"/>
  <c r="P29" i="20"/>
  <c r="M28" i="20"/>
  <c r="P28" i="20" s="1"/>
  <c r="O26" i="19"/>
  <c r="P252" i="19"/>
  <c r="M250" i="19"/>
  <c r="P250" i="19" s="1"/>
  <c r="L22" i="19"/>
  <c r="O32" i="19"/>
  <c r="M41" i="19"/>
  <c r="O23" i="18"/>
  <c r="L13" i="18"/>
  <c r="O13" i="18" s="1"/>
  <c r="M43" i="17"/>
  <c r="N14" i="16"/>
  <c r="O34" i="16"/>
  <c r="O26" i="16"/>
  <c r="L16" i="16"/>
  <c r="O16" i="16" s="1"/>
  <c r="O19" i="16"/>
  <c r="N66" i="15"/>
  <c r="N68" i="1"/>
  <c r="M41" i="13"/>
  <c r="L636" i="17"/>
  <c r="O636" i="17" s="1"/>
  <c r="O638" i="17"/>
  <c r="L96" i="12"/>
  <c r="O98" i="12"/>
  <c r="O122" i="12"/>
  <c r="L120" i="12"/>
  <c r="M118" i="12"/>
  <c r="P118" i="12" s="1"/>
  <c r="P120" i="12"/>
  <c r="P140" i="11"/>
  <c r="M290" i="9"/>
  <c r="P290" i="9" s="1"/>
  <c r="P292" i="9"/>
  <c r="O32" i="10"/>
  <c r="L30" i="10"/>
  <c r="O30" i="10" s="1"/>
  <c r="O68" i="10"/>
  <c r="L66" i="10"/>
  <c r="O66" i="10" s="1"/>
  <c r="O19" i="8"/>
  <c r="P11" i="9"/>
  <c r="M9" i="9"/>
  <c r="O640" i="4"/>
  <c r="L638" i="4"/>
  <c r="P292" i="4"/>
  <c r="M290" i="4"/>
  <c r="P290" i="4" s="1"/>
  <c r="L140" i="5"/>
  <c r="O142" i="5"/>
  <c r="M53" i="5"/>
  <c r="P53" i="5" s="1"/>
  <c r="O26" i="3"/>
  <c r="L16" i="3"/>
  <c r="O16" i="3" s="1"/>
  <c r="M26" i="5"/>
  <c r="O24" i="3"/>
  <c r="L14" i="3"/>
  <c r="O14" i="3" s="1"/>
  <c r="L29" i="3"/>
  <c r="O31" i="3"/>
  <c r="P140" i="2"/>
  <c r="O32" i="2"/>
  <c r="L30" i="2"/>
  <c r="N118" i="3"/>
  <c r="N120" i="1"/>
  <c r="L94" i="2"/>
  <c r="O96" i="2"/>
  <c r="N29" i="3"/>
  <c r="N28" i="3" s="1"/>
  <c r="N11" i="3"/>
  <c r="N9" i="3" s="1"/>
  <c r="M20" i="2"/>
  <c r="P22" i="2"/>
  <c r="M12" i="2"/>
  <c r="L333" i="1"/>
  <c r="O333" i="1" s="1"/>
  <c r="M9" i="1"/>
  <c r="P11" i="1"/>
  <c r="P222" i="16"/>
  <c r="M220" i="16"/>
  <c r="P220" i="16" s="1"/>
  <c r="L30" i="11"/>
  <c r="O30" i="11" s="1"/>
  <c r="O32" i="11"/>
  <c r="L53" i="21"/>
  <c r="O53" i="21" s="1"/>
  <c r="M310" i="20"/>
  <c r="P310" i="20" s="1"/>
  <c r="P312" i="20"/>
  <c r="L14" i="21"/>
  <c r="O14" i="21" s="1"/>
  <c r="O24" i="21"/>
  <c r="O23" i="19"/>
  <c r="L13" i="19"/>
  <c r="O13" i="19" s="1"/>
  <c r="P26" i="19"/>
  <c r="M16" i="19"/>
  <c r="P16" i="19" s="1"/>
  <c r="M329" i="18"/>
  <c r="P329" i="18" s="1"/>
  <c r="O331" i="18"/>
  <c r="L329" i="18"/>
  <c r="O329" i="18" s="1"/>
  <c r="P329" i="17"/>
  <c r="M68" i="17"/>
  <c r="M26" i="16"/>
  <c r="P49" i="16"/>
  <c r="M66" i="15"/>
  <c r="P68" i="15"/>
  <c r="M310" i="15"/>
  <c r="P310" i="15" s="1"/>
  <c r="L14" i="16"/>
  <c r="O24" i="16"/>
  <c r="L636" i="15"/>
  <c r="O636" i="15" s="1"/>
  <c r="O638" i="15"/>
  <c r="L9" i="13"/>
  <c r="O11" i="13"/>
  <c r="P22" i="14"/>
  <c r="M12" i="14"/>
  <c r="M53" i="14"/>
  <c r="P53" i="14" s="1"/>
  <c r="P142" i="13"/>
  <c r="M140" i="13"/>
  <c r="P140" i="13" s="1"/>
  <c r="L140" i="13"/>
  <c r="O140" i="13" s="1"/>
  <c r="L29" i="13"/>
  <c r="O31" i="13"/>
  <c r="P26" i="12"/>
  <c r="M16" i="12"/>
  <c r="P271" i="10"/>
  <c r="L22" i="12"/>
  <c r="O45" i="12"/>
  <c r="L43" i="12"/>
  <c r="P94" i="11"/>
  <c r="P142" i="11"/>
  <c r="O23" i="10"/>
  <c r="L13" i="10"/>
  <c r="O13" i="10" s="1"/>
  <c r="L220" i="11"/>
  <c r="O220" i="11" s="1"/>
  <c r="P271" i="9"/>
  <c r="L310" i="8"/>
  <c r="O310" i="8" s="1"/>
  <c r="P222" i="9"/>
  <c r="M220" i="9"/>
  <c r="P220" i="9" s="1"/>
  <c r="N20" i="9"/>
  <c r="N18" i="9" s="1"/>
  <c r="O314" i="9"/>
  <c r="L312" i="9"/>
  <c r="L314" i="1"/>
  <c r="O314" i="1" s="1"/>
  <c r="L16" i="8"/>
  <c r="O16" i="8" s="1"/>
  <c r="O26" i="8"/>
  <c r="P252" i="8"/>
  <c r="L120" i="6"/>
  <c r="O122" i="6"/>
  <c r="L122" i="1"/>
  <c r="O122" i="1" s="1"/>
  <c r="M118" i="5"/>
  <c r="P118" i="5" s="1"/>
  <c r="P120" i="5"/>
  <c r="N12" i="3"/>
  <c r="N10" i="3" s="1"/>
  <c r="N20" i="3"/>
  <c r="N18" i="3" s="1"/>
  <c r="M331" i="5"/>
  <c r="N96" i="1"/>
  <c r="L31" i="1"/>
  <c r="L11" i="1" s="1"/>
  <c r="O565" i="1"/>
  <c r="P333" i="1"/>
  <c r="N22" i="1"/>
  <c r="L19" i="1"/>
  <c r="O21" i="1"/>
  <c r="P292" i="2"/>
  <c r="M290" i="2"/>
  <c r="M292" i="1"/>
  <c r="P331" i="2"/>
  <c r="P19" i="1"/>
  <c r="O32" i="20"/>
  <c r="L30" i="20"/>
  <c r="O30" i="20" s="1"/>
  <c r="O23" i="20"/>
  <c r="L13" i="20"/>
  <c r="O13" i="20" s="1"/>
  <c r="O26" i="17"/>
  <c r="L16" i="17"/>
  <c r="O16" i="17" s="1"/>
  <c r="M66" i="9"/>
  <c r="P66" i="9" s="1"/>
  <c r="P68" i="9"/>
  <c r="L329" i="11"/>
  <c r="O329" i="11" s="1"/>
  <c r="O331" i="11"/>
  <c r="N290" i="1"/>
  <c r="P252" i="3"/>
  <c r="M252" i="1"/>
  <c r="M250" i="3"/>
  <c r="P250" i="3" s="1"/>
  <c r="O11" i="21"/>
  <c r="L9" i="21"/>
  <c r="N220" i="19"/>
  <c r="O220" i="19" s="1"/>
  <c r="P222" i="19"/>
  <c r="L638" i="18"/>
  <c r="O640" i="18"/>
  <c r="M68" i="18"/>
  <c r="P74" i="18"/>
  <c r="M41" i="18"/>
  <c r="P43" i="18"/>
  <c r="P30" i="17"/>
  <c r="M28" i="17"/>
  <c r="P28" i="17" s="1"/>
  <c r="O66" i="18"/>
  <c r="O41" i="15"/>
  <c r="L312" i="16"/>
  <c r="O314" i="16"/>
  <c r="P19" i="15"/>
  <c r="O23" i="15"/>
  <c r="L13" i="15"/>
  <c r="O13" i="15" s="1"/>
  <c r="O23" i="13"/>
  <c r="L13" i="13"/>
  <c r="O13" i="13" s="1"/>
  <c r="P331" i="14"/>
  <c r="M329" i="14"/>
  <c r="P329" i="14" s="1"/>
  <c r="O19" i="13"/>
  <c r="L22" i="15"/>
  <c r="N20" i="12"/>
  <c r="N18" i="12" s="1"/>
  <c r="N12" i="12"/>
  <c r="O24" i="12"/>
  <c r="L14" i="12"/>
  <c r="O14" i="12" s="1"/>
  <c r="P120" i="11"/>
  <c r="M118" i="11"/>
  <c r="P118" i="11" s="1"/>
  <c r="P222" i="10"/>
  <c r="M220" i="10"/>
  <c r="P220" i="10" s="1"/>
  <c r="P74" i="10"/>
  <c r="M26" i="10"/>
  <c r="O23" i="9"/>
  <c r="L13" i="9"/>
  <c r="O13" i="9" s="1"/>
  <c r="O24" i="9"/>
  <c r="L14" i="9"/>
  <c r="O14" i="9" s="1"/>
  <c r="P19" i="9"/>
  <c r="P49" i="8"/>
  <c r="M43" i="8"/>
  <c r="M26" i="8"/>
  <c r="O331" i="9"/>
  <c r="L329" i="9"/>
  <c r="O26" i="7"/>
  <c r="L16" i="7"/>
  <c r="O16" i="7" s="1"/>
  <c r="L273" i="6"/>
  <c r="O275" i="6"/>
  <c r="M43" i="6"/>
  <c r="P49" i="6"/>
  <c r="M26" i="6"/>
  <c r="M49" i="1"/>
  <c r="M66" i="5"/>
  <c r="P66" i="5" s="1"/>
  <c r="P68" i="5"/>
  <c r="M9" i="2"/>
  <c r="P11" i="2"/>
  <c r="M41" i="5"/>
  <c r="P43" i="5"/>
  <c r="M250" i="6"/>
  <c r="P250" i="6" s="1"/>
  <c r="M26" i="3"/>
  <c r="P102" i="3"/>
  <c r="M102" i="1"/>
  <c r="P102" i="1" s="1"/>
  <c r="M9" i="3"/>
  <c r="P11" i="3"/>
  <c r="M9" i="15"/>
  <c r="P15" i="15"/>
  <c r="O31" i="11"/>
  <c r="L11" i="11"/>
  <c r="L29" i="11"/>
  <c r="P11" i="21"/>
  <c r="M9" i="21"/>
  <c r="N20" i="20"/>
  <c r="N18" i="20" s="1"/>
  <c r="O34" i="19"/>
  <c r="L14" i="19"/>
  <c r="O14" i="19" s="1"/>
  <c r="P22" i="19"/>
  <c r="M20" i="19"/>
  <c r="M12" i="19"/>
  <c r="N20" i="19"/>
  <c r="N18" i="19" s="1"/>
  <c r="N12" i="19"/>
  <c r="N10" i="19" s="1"/>
  <c r="P29" i="18"/>
  <c r="M28" i="18"/>
  <c r="P28" i="18" s="1"/>
  <c r="M26" i="18"/>
  <c r="O68" i="18"/>
  <c r="P43" i="15"/>
  <c r="M41" i="15"/>
  <c r="L14" i="15"/>
  <c r="O14" i="15" s="1"/>
  <c r="O96" i="15"/>
  <c r="L94" i="15"/>
  <c r="O94" i="15" s="1"/>
  <c r="M53" i="15"/>
  <c r="P53" i="15" s="1"/>
  <c r="P55" i="15"/>
  <c r="P120" i="14"/>
  <c r="M118" i="14"/>
  <c r="P118" i="14" s="1"/>
  <c r="O32" i="14"/>
  <c r="L30" i="14"/>
  <c r="O30" i="14" s="1"/>
  <c r="N20" i="14"/>
  <c r="N18" i="14" s="1"/>
  <c r="N12" i="14"/>
  <c r="N10" i="14" s="1"/>
  <c r="P55" i="13"/>
  <c r="M53" i="13"/>
  <c r="P53" i="13" s="1"/>
  <c r="L638" i="14"/>
  <c r="O640" i="14"/>
  <c r="O26" i="14"/>
  <c r="P19" i="12"/>
  <c r="N220" i="12"/>
  <c r="O222" i="12"/>
  <c r="N222" i="1"/>
  <c r="P29" i="11"/>
  <c r="M28" i="11"/>
  <c r="P28" i="11" s="1"/>
  <c r="M220" i="8"/>
  <c r="P220" i="8" s="1"/>
  <c r="P222" i="8"/>
  <c r="O640" i="11"/>
  <c r="L638" i="11"/>
  <c r="O640" i="9"/>
  <c r="L638" i="9"/>
  <c r="O31" i="10"/>
  <c r="L29" i="10"/>
  <c r="L11" i="10"/>
  <c r="L14" i="8"/>
  <c r="O14" i="8" s="1"/>
  <c r="O24" i="8"/>
  <c r="P273" i="11"/>
  <c r="M271" i="11"/>
  <c r="P271" i="11" s="1"/>
  <c r="M12" i="9"/>
  <c r="P22" i="9"/>
  <c r="L638" i="10"/>
  <c r="O640" i="10"/>
  <c r="P11" i="7"/>
  <c r="M9" i="7"/>
  <c r="L636" i="12"/>
  <c r="O636" i="12" s="1"/>
  <c r="O638" i="12"/>
  <c r="N140" i="5"/>
  <c r="N142" i="1"/>
  <c r="M28" i="6"/>
  <c r="P28" i="6" s="1"/>
  <c r="P30" i="6"/>
  <c r="M220" i="4"/>
  <c r="P220" i="4" s="1"/>
  <c r="P222" i="4"/>
  <c r="L290" i="6"/>
  <c r="O290" i="6" s="1"/>
  <c r="N310" i="2"/>
  <c r="N312" i="1"/>
  <c r="L68" i="4"/>
  <c r="O70" i="4"/>
  <c r="L70" i="1"/>
  <c r="O70" i="1" s="1"/>
  <c r="O11" i="4"/>
  <c r="L9" i="4"/>
  <c r="M96" i="3"/>
  <c r="P250" i="2"/>
  <c r="N271" i="3"/>
  <c r="N273" i="1"/>
  <c r="P29" i="3"/>
  <c r="M28" i="3"/>
  <c r="P28" i="3" s="1"/>
  <c r="P26" i="2"/>
  <c r="N16" i="2"/>
  <c r="P16" i="2" s="1"/>
  <c r="L24" i="1"/>
  <c r="P19" i="18"/>
  <c r="O224" i="16"/>
  <c r="L222" i="16"/>
  <c r="P312" i="12"/>
  <c r="M310" i="12"/>
  <c r="P310" i="12" s="1"/>
  <c r="M312" i="1"/>
  <c r="M310" i="13"/>
  <c r="P310" i="13" s="1"/>
  <c r="P312" i="13"/>
  <c r="P74" i="9"/>
  <c r="M26" i="9"/>
  <c r="M20" i="9" s="1"/>
  <c r="M74" i="1"/>
  <c r="P74" i="1" s="1"/>
  <c r="O26" i="4"/>
  <c r="L16" i="4"/>
  <c r="O16" i="4" s="1"/>
  <c r="P19" i="4"/>
  <c r="P331" i="21"/>
  <c r="M329" i="21"/>
  <c r="P329" i="21" s="1"/>
  <c r="M53" i="18"/>
  <c r="P53" i="18" s="1"/>
  <c r="L22" i="16"/>
  <c r="P331" i="16"/>
  <c r="M329" i="16"/>
  <c r="P329" i="16" s="1"/>
  <c r="P222" i="15"/>
  <c r="M220" i="15"/>
  <c r="P220" i="15" s="1"/>
  <c r="L329" i="16"/>
  <c r="O329" i="16" s="1"/>
  <c r="M271" i="12"/>
  <c r="P271" i="12" s="1"/>
  <c r="L638" i="13"/>
  <c r="O640" i="13"/>
  <c r="M329" i="12"/>
  <c r="P329" i="12" s="1"/>
  <c r="P331" i="12"/>
  <c r="M9" i="12"/>
  <c r="P11" i="12"/>
  <c r="P273" i="10"/>
  <c r="P68" i="11"/>
  <c r="M66" i="11"/>
  <c r="P66" i="11" s="1"/>
  <c r="M66" i="10"/>
  <c r="P66" i="10" s="1"/>
  <c r="P68" i="10"/>
  <c r="P118" i="9"/>
  <c r="P22" i="12"/>
  <c r="P22" i="11"/>
  <c r="M12" i="11"/>
  <c r="L638" i="8"/>
  <c r="O640" i="8"/>
  <c r="O26" i="10"/>
  <c r="L16" i="10"/>
  <c r="O16" i="10" s="1"/>
  <c r="L638" i="7"/>
  <c r="O640" i="7"/>
  <c r="P292" i="7"/>
  <c r="M290" i="7"/>
  <c r="P290" i="7" s="1"/>
  <c r="P331" i="7"/>
  <c r="M329" i="7"/>
  <c r="P329" i="7" s="1"/>
  <c r="O640" i="12"/>
  <c r="O16" i="9"/>
  <c r="M9" i="4"/>
  <c r="P11" i="4"/>
  <c r="M271" i="2"/>
  <c r="P273" i="2"/>
  <c r="M273" i="1"/>
  <c r="O26" i="2"/>
  <c r="L16" i="2"/>
  <c r="L94" i="5"/>
  <c r="O94" i="5" s="1"/>
  <c r="O96" i="5"/>
  <c r="P22" i="4"/>
  <c r="M12" i="4"/>
  <c r="O640" i="2"/>
  <c r="L66" i="3"/>
  <c r="O66" i="3" s="1"/>
  <c r="O68" i="3"/>
  <c r="O45" i="3"/>
  <c r="L43" i="3"/>
  <c r="L22" i="3"/>
  <c r="L13" i="2"/>
  <c r="O13" i="2" s="1"/>
  <c r="L53" i="12" l="1"/>
  <c r="L140" i="14"/>
  <c r="O140" i="14" s="1"/>
  <c r="P271" i="4"/>
  <c r="N271" i="1"/>
  <c r="O252" i="2"/>
  <c r="L271" i="14"/>
  <c r="O271" i="14" s="1"/>
  <c r="O273" i="13"/>
  <c r="L53" i="16"/>
  <c r="O53" i="16" s="1"/>
  <c r="L66" i="20"/>
  <c r="O66" i="20" s="1"/>
  <c r="L118" i="7"/>
  <c r="O118" i="7" s="1"/>
  <c r="L94" i="19"/>
  <c r="O94" i="19" s="1"/>
  <c r="L94" i="7"/>
  <c r="O94" i="7" s="1"/>
  <c r="O118" i="20"/>
  <c r="L290" i="17"/>
  <c r="O290" i="17" s="1"/>
  <c r="O120" i="20"/>
  <c r="L250" i="17"/>
  <c r="O250" i="17" s="1"/>
  <c r="L329" i="4"/>
  <c r="O329" i="4" s="1"/>
  <c r="O55" i="20"/>
  <c r="O120" i="13"/>
  <c r="L271" i="16"/>
  <c r="O271" i="16" s="1"/>
  <c r="L118" i="5"/>
  <c r="O118" i="5" s="1"/>
  <c r="L329" i="7"/>
  <c r="O329" i="7" s="1"/>
  <c r="P140" i="15"/>
  <c r="L290" i="16"/>
  <c r="O290" i="16" s="1"/>
  <c r="O252" i="6"/>
  <c r="O273" i="9"/>
  <c r="N8" i="14"/>
  <c r="O68" i="19"/>
  <c r="O66" i="15"/>
  <c r="N8" i="11"/>
  <c r="L41" i="6"/>
  <c r="O41" i="6" s="1"/>
  <c r="L271" i="17"/>
  <c r="O271" i="17" s="1"/>
  <c r="O28" i="16"/>
  <c r="O252" i="11"/>
  <c r="L310" i="12"/>
  <c r="O310" i="12" s="1"/>
  <c r="L94" i="18"/>
  <c r="O94" i="18" s="1"/>
  <c r="L290" i="15"/>
  <c r="O290" i="15" s="1"/>
  <c r="L250" i="4"/>
  <c r="O250" i="4" s="1"/>
  <c r="L310" i="3"/>
  <c r="O310" i="3" s="1"/>
  <c r="O43" i="19"/>
  <c r="L290" i="7"/>
  <c r="O290" i="7" s="1"/>
  <c r="L271" i="20"/>
  <c r="O271" i="20" s="1"/>
  <c r="O140" i="17"/>
  <c r="O222" i="3"/>
  <c r="N8" i="18"/>
  <c r="N37" i="17"/>
  <c r="O68" i="2"/>
  <c r="L118" i="17"/>
  <c r="O118" i="17" s="1"/>
  <c r="O273" i="3"/>
  <c r="O55" i="5"/>
  <c r="N37" i="14"/>
  <c r="L290" i="5"/>
  <c r="O290" i="5" s="1"/>
  <c r="L310" i="2"/>
  <c r="O310" i="2" s="1"/>
  <c r="O55" i="3"/>
  <c r="L94" i="11"/>
  <c r="O94" i="11" s="1"/>
  <c r="O331" i="17"/>
  <c r="L310" i="6"/>
  <c r="O310" i="6" s="1"/>
  <c r="L140" i="12"/>
  <c r="O140" i="12" s="1"/>
  <c r="O142" i="19"/>
  <c r="P12" i="7"/>
  <c r="L20" i="9"/>
  <c r="O20" i="9" s="1"/>
  <c r="P55" i="1"/>
  <c r="L41" i="4"/>
  <c r="O41" i="4" s="1"/>
  <c r="M94" i="13"/>
  <c r="P94" i="13" s="1"/>
  <c r="L9" i="9"/>
  <c r="O9" i="9" s="1"/>
  <c r="O142" i="2"/>
  <c r="O252" i="21"/>
  <c r="N8" i="13"/>
  <c r="N310" i="1"/>
  <c r="O43" i="16"/>
  <c r="O68" i="9"/>
  <c r="O11" i="2"/>
  <c r="L220" i="21"/>
  <c r="O220" i="21" s="1"/>
  <c r="O312" i="4"/>
  <c r="N10" i="7"/>
  <c r="N8" i="7" s="1"/>
  <c r="O312" i="7"/>
  <c r="O43" i="9"/>
  <c r="O120" i="3"/>
  <c r="L41" i="10"/>
  <c r="O41" i="10" s="1"/>
  <c r="O96" i="3"/>
  <c r="N8" i="5"/>
  <c r="O16" i="1"/>
  <c r="L118" i="18"/>
  <c r="O118" i="18" s="1"/>
  <c r="O222" i="6"/>
  <c r="L250" i="13"/>
  <c r="O250" i="13" s="1"/>
  <c r="O68" i="15"/>
  <c r="L140" i="7"/>
  <c r="O140" i="7" s="1"/>
  <c r="L329" i="21"/>
  <c r="O329" i="21" s="1"/>
  <c r="O55" i="6"/>
  <c r="P12" i="15"/>
  <c r="L140" i="6"/>
  <c r="O140" i="6" s="1"/>
  <c r="N28" i="12"/>
  <c r="P53" i="1"/>
  <c r="L220" i="7"/>
  <c r="O220" i="7" s="1"/>
  <c r="L329" i="19"/>
  <c r="O329" i="19" s="1"/>
  <c r="L329" i="10"/>
  <c r="O329" i="10" s="1"/>
  <c r="L140" i="3"/>
  <c r="O140" i="3" s="1"/>
  <c r="L290" i="21"/>
  <c r="O290" i="21" s="1"/>
  <c r="O222" i="20"/>
  <c r="L94" i="8"/>
  <c r="O94" i="8" s="1"/>
  <c r="L271" i="15"/>
  <c r="O271" i="15" s="1"/>
  <c r="O55" i="9"/>
  <c r="O331" i="3"/>
  <c r="O120" i="8"/>
  <c r="L140" i="11"/>
  <c r="O140" i="11" s="1"/>
  <c r="M329" i="10"/>
  <c r="P329" i="10" s="1"/>
  <c r="P250" i="15"/>
  <c r="L66" i="16"/>
  <c r="O66" i="16" s="1"/>
  <c r="O28" i="7"/>
  <c r="L290" i="14"/>
  <c r="O290" i="14" s="1"/>
  <c r="L94" i="4"/>
  <c r="O94" i="4" s="1"/>
  <c r="L66" i="17"/>
  <c r="O66" i="17" s="1"/>
  <c r="O43" i="8"/>
  <c r="N8" i="17"/>
  <c r="L310" i="18"/>
  <c r="O310" i="18" s="1"/>
  <c r="L140" i="4"/>
  <c r="O140" i="4" s="1"/>
  <c r="N8" i="4"/>
  <c r="O292" i="12"/>
  <c r="L329" i="13"/>
  <c r="O329" i="13" s="1"/>
  <c r="O312" i="19"/>
  <c r="N37" i="13"/>
  <c r="L250" i="18"/>
  <c r="O250" i="18" s="1"/>
  <c r="O312" i="14"/>
  <c r="L310" i="20"/>
  <c r="O310" i="20" s="1"/>
  <c r="O273" i="10"/>
  <c r="L329" i="5"/>
  <c r="O329" i="5" s="1"/>
  <c r="O68" i="13"/>
  <c r="L118" i="15"/>
  <c r="O118" i="15" s="1"/>
  <c r="L20" i="18"/>
  <c r="L18" i="18" s="1"/>
  <c r="O18" i="18" s="1"/>
  <c r="L271" i="11"/>
  <c r="O271" i="11" s="1"/>
  <c r="N8" i="21"/>
  <c r="L118" i="11"/>
  <c r="O118" i="11" s="1"/>
  <c r="L140" i="18"/>
  <c r="O140" i="18" s="1"/>
  <c r="O55" i="10"/>
  <c r="L53" i="11"/>
  <c r="O53" i="11" s="1"/>
  <c r="N8" i="20"/>
  <c r="L290" i="19"/>
  <c r="O290" i="19" s="1"/>
  <c r="O22" i="4"/>
  <c r="L12" i="4"/>
  <c r="L10" i="4" s="1"/>
  <c r="O10" i="4" s="1"/>
  <c r="L41" i="18"/>
  <c r="O41" i="18" s="1"/>
  <c r="P12" i="13"/>
  <c r="O28" i="18"/>
  <c r="L271" i="12"/>
  <c r="O271" i="12" s="1"/>
  <c r="P26" i="14"/>
  <c r="O331" i="8"/>
  <c r="O11" i="16"/>
  <c r="L250" i="7"/>
  <c r="O250" i="7" s="1"/>
  <c r="L271" i="18"/>
  <c r="O271" i="18" s="1"/>
  <c r="O43" i="17"/>
  <c r="N8" i="9"/>
  <c r="O55" i="7"/>
  <c r="N8" i="8"/>
  <c r="L43" i="1"/>
  <c r="L41" i="1" s="1"/>
  <c r="P12" i="18"/>
  <c r="O22" i="7"/>
  <c r="L41" i="7"/>
  <c r="O41" i="7" s="1"/>
  <c r="P12" i="20"/>
  <c r="O43" i="14"/>
  <c r="M20" i="14"/>
  <c r="P20" i="14" s="1"/>
  <c r="O120" i="14"/>
  <c r="L118" i="14"/>
  <c r="O118" i="14" s="1"/>
  <c r="N8" i="19"/>
  <c r="O26" i="1"/>
  <c r="M68" i="1"/>
  <c r="P68" i="1" s="1"/>
  <c r="L20" i="10"/>
  <c r="O20" i="10" s="1"/>
  <c r="N28" i="1"/>
  <c r="O250" i="8"/>
  <c r="O20" i="13"/>
  <c r="O14" i="14"/>
  <c r="N8" i="10"/>
  <c r="L290" i="10"/>
  <c r="O290" i="10" s="1"/>
  <c r="M41" i="14"/>
  <c r="M37" i="14" s="1"/>
  <c r="O120" i="2"/>
  <c r="N11" i="1"/>
  <c r="N9" i="1" s="1"/>
  <c r="L252" i="1"/>
  <c r="O252" i="1" s="1"/>
  <c r="L220" i="8"/>
  <c r="O220" i="8" s="1"/>
  <c r="L220" i="9"/>
  <c r="O220" i="9" s="1"/>
  <c r="P118" i="17"/>
  <c r="O252" i="14"/>
  <c r="O22" i="21"/>
  <c r="O30" i="1"/>
  <c r="L220" i="4"/>
  <c r="O220" i="4" s="1"/>
  <c r="M16" i="11"/>
  <c r="P16" i="11" s="1"/>
  <c r="P250" i="20"/>
  <c r="L12" i="2"/>
  <c r="O12" i="2" s="1"/>
  <c r="L12" i="21"/>
  <c r="O12" i="21" s="1"/>
  <c r="L250" i="19"/>
  <c r="O250" i="19" s="1"/>
  <c r="L310" i="13"/>
  <c r="O310" i="13" s="1"/>
  <c r="O32" i="1"/>
  <c r="L12" i="9"/>
  <c r="L10" i="9" s="1"/>
  <c r="O10" i="9" s="1"/>
  <c r="P222" i="1"/>
  <c r="L12" i="18"/>
  <c r="O12" i="18" s="1"/>
  <c r="O22" i="2"/>
  <c r="L290" i="4"/>
  <c r="O290" i="4" s="1"/>
  <c r="O14" i="6"/>
  <c r="O41" i="2"/>
  <c r="L28" i="17"/>
  <c r="O28" i="17" s="1"/>
  <c r="L66" i="5"/>
  <c r="O66" i="5" s="1"/>
  <c r="P12" i="3"/>
  <c r="L12" i="7"/>
  <c r="L10" i="7" s="1"/>
  <c r="O140" i="20"/>
  <c r="O34" i="1"/>
  <c r="O329" i="15"/>
  <c r="L28" i="9"/>
  <c r="O28" i="9" s="1"/>
  <c r="O53" i="10"/>
  <c r="O292" i="2"/>
  <c r="P26" i="11"/>
  <c r="L12" i="13"/>
  <c r="O12" i="13" s="1"/>
  <c r="L142" i="1"/>
  <c r="O142" i="1" s="1"/>
  <c r="O273" i="5"/>
  <c r="L271" i="5"/>
  <c r="O271" i="5" s="1"/>
  <c r="O329" i="9"/>
  <c r="L12" i="5"/>
  <c r="L10" i="5" s="1"/>
  <c r="O312" i="10"/>
  <c r="O22" i="13"/>
  <c r="N37" i="10"/>
  <c r="O120" i="9"/>
  <c r="O53" i="3"/>
  <c r="O11" i="7"/>
  <c r="L9" i="7"/>
  <c r="O9" i="7" s="1"/>
  <c r="L20" i="5"/>
  <c r="O20" i="5" s="1"/>
  <c r="N140" i="1"/>
  <c r="P292" i="1"/>
  <c r="L12" i="8"/>
  <c r="L10" i="8" s="1"/>
  <c r="O10" i="8" s="1"/>
  <c r="N37" i="15"/>
  <c r="L20" i="8"/>
  <c r="O20" i="8" s="1"/>
  <c r="L140" i="10"/>
  <c r="O140" i="10" s="1"/>
  <c r="N118" i="1"/>
  <c r="L12" i="10"/>
  <c r="L10" i="10" s="1"/>
  <c r="O10" i="10" s="1"/>
  <c r="L20" i="11"/>
  <c r="L18" i="11" s="1"/>
  <c r="O18" i="11" s="1"/>
  <c r="L331" i="1"/>
  <c r="O331" i="1" s="1"/>
  <c r="N37" i="9"/>
  <c r="L12" i="11"/>
  <c r="O12" i="11" s="1"/>
  <c r="O11" i="18"/>
  <c r="P118" i="20"/>
  <c r="P331" i="8"/>
  <c r="M329" i="8"/>
  <c r="P329" i="8" s="1"/>
  <c r="L9" i="15"/>
  <c r="O9" i="15" s="1"/>
  <c r="O11" i="15"/>
  <c r="P12" i="6"/>
  <c r="N37" i="12"/>
  <c r="L9" i="8"/>
  <c r="O9" i="8" s="1"/>
  <c r="L310" i="21"/>
  <c r="O310" i="21" s="1"/>
  <c r="O41" i="11"/>
  <c r="P20" i="4"/>
  <c r="L290" i="9"/>
  <c r="O290" i="9" s="1"/>
  <c r="N37" i="20"/>
  <c r="N250" i="1"/>
  <c r="L292" i="1"/>
  <c r="O292" i="1" s="1"/>
  <c r="O120" i="16"/>
  <c r="L118" i="16"/>
  <c r="O118" i="16" s="1"/>
  <c r="O68" i="7"/>
  <c r="L66" i="7"/>
  <c r="O66" i="7" s="1"/>
  <c r="O273" i="4"/>
  <c r="L271" i="4"/>
  <c r="O271" i="4" s="1"/>
  <c r="O640" i="1"/>
  <c r="O273" i="7"/>
  <c r="L271" i="7"/>
  <c r="O271" i="7" s="1"/>
  <c r="O29" i="4"/>
  <c r="L28" i="4"/>
  <c r="O28" i="4" s="1"/>
  <c r="O96" i="16"/>
  <c r="L12" i="14"/>
  <c r="O12" i="14" s="1"/>
  <c r="L9" i="5"/>
  <c r="O9" i="5" s="1"/>
  <c r="O11" i="5"/>
  <c r="O68" i="14"/>
  <c r="L66" i="14"/>
  <c r="O66" i="14" s="1"/>
  <c r="L273" i="1"/>
  <c r="O273" i="1" s="1"/>
  <c r="M16" i="4"/>
  <c r="P16" i="4" s="1"/>
  <c r="O22" i="14"/>
  <c r="O29" i="5"/>
  <c r="L28" i="5"/>
  <c r="O28" i="5" s="1"/>
  <c r="L9" i="17"/>
  <c r="O9" i="17" s="1"/>
  <c r="O11" i="17"/>
  <c r="N37" i="2"/>
  <c r="P26" i="4"/>
  <c r="O273" i="2"/>
  <c r="L120" i="1"/>
  <c r="O120" i="1" s="1"/>
  <c r="L96" i="1"/>
  <c r="O96" i="1" s="1"/>
  <c r="O222" i="15"/>
  <c r="L220" i="15"/>
  <c r="O220" i="15" s="1"/>
  <c r="L68" i="1"/>
  <c r="O68" i="1" s="1"/>
  <c r="P18" i="12"/>
  <c r="P329" i="2"/>
  <c r="L12" i="6"/>
  <c r="O12" i="6" s="1"/>
  <c r="O29" i="21"/>
  <c r="L28" i="21"/>
  <c r="O28" i="21" s="1"/>
  <c r="O22" i="6"/>
  <c r="O30" i="15"/>
  <c r="L28" i="15"/>
  <c r="O28" i="15" s="1"/>
  <c r="O55" i="4"/>
  <c r="L53" i="4"/>
  <c r="O53" i="4" s="1"/>
  <c r="O120" i="10"/>
  <c r="L118" i="10"/>
  <c r="O118" i="10" s="1"/>
  <c r="P310" i="2"/>
  <c r="O43" i="11"/>
  <c r="P252" i="1"/>
  <c r="M37" i="4"/>
  <c r="P37" i="4" s="1"/>
  <c r="O14" i="16"/>
  <c r="N37" i="8"/>
  <c r="L28" i="19"/>
  <c r="O28" i="19" s="1"/>
  <c r="P96" i="7"/>
  <c r="M94" i="7"/>
  <c r="P94" i="7" s="1"/>
  <c r="O273" i="8"/>
  <c r="L271" i="8"/>
  <c r="O271" i="8" s="1"/>
  <c r="N220" i="1"/>
  <c r="M18" i="4"/>
  <c r="P18" i="4" s="1"/>
  <c r="O118" i="3"/>
  <c r="N329" i="1"/>
  <c r="M94" i="5"/>
  <c r="P94" i="5" s="1"/>
  <c r="P96" i="5"/>
  <c r="L9" i="12"/>
  <c r="O9" i="12" s="1"/>
  <c r="O11" i="12"/>
  <c r="O29" i="12"/>
  <c r="L28" i="12"/>
  <c r="O16" i="2"/>
  <c r="P273" i="1"/>
  <c r="P220" i="19"/>
  <c r="P66" i="15"/>
  <c r="O20" i="4"/>
  <c r="L118" i="19"/>
  <c r="O118" i="19" s="1"/>
  <c r="O120" i="19"/>
  <c r="O11" i="6"/>
  <c r="L9" i="6"/>
  <c r="O9" i="6" s="1"/>
  <c r="N37" i="6"/>
  <c r="O96" i="14"/>
  <c r="L94" i="14"/>
  <c r="O94" i="14" s="1"/>
  <c r="P118" i="3"/>
  <c r="L22" i="1"/>
  <c r="L12" i="1" s="1"/>
  <c r="O29" i="8"/>
  <c r="L28" i="8"/>
  <c r="O28" i="8" s="1"/>
  <c r="P68" i="3"/>
  <c r="M66" i="3"/>
  <c r="P66" i="3" s="1"/>
  <c r="O29" i="6"/>
  <c r="L28" i="6"/>
  <c r="O28" i="6" s="1"/>
  <c r="N37" i="5"/>
  <c r="N66" i="1"/>
  <c r="O53" i="12"/>
  <c r="M16" i="7"/>
  <c r="M20" i="7"/>
  <c r="M18" i="7" s="1"/>
  <c r="P18" i="7" s="1"/>
  <c r="M329" i="11"/>
  <c r="P329" i="11" s="1"/>
  <c r="P331" i="11"/>
  <c r="L636" i="19"/>
  <c r="O636" i="19" s="1"/>
  <c r="O638" i="19"/>
  <c r="P96" i="17"/>
  <c r="M94" i="17"/>
  <c r="P94" i="17" s="1"/>
  <c r="P220" i="12"/>
  <c r="L271" i="19"/>
  <c r="O271" i="19" s="1"/>
  <c r="O273" i="19"/>
  <c r="P20" i="9"/>
  <c r="M18" i="9"/>
  <c r="P18" i="9" s="1"/>
  <c r="P20" i="17"/>
  <c r="M18" i="17"/>
  <c r="P18" i="17" s="1"/>
  <c r="P20" i="21"/>
  <c r="M18" i="21"/>
  <c r="P18" i="21" s="1"/>
  <c r="L20" i="12"/>
  <c r="O22" i="12"/>
  <c r="L12" i="12"/>
  <c r="O9" i="4"/>
  <c r="O638" i="10"/>
  <c r="L636" i="10"/>
  <c r="O636" i="10" s="1"/>
  <c r="L20" i="3"/>
  <c r="O22" i="3"/>
  <c r="L12" i="3"/>
  <c r="L636" i="7"/>
  <c r="O636" i="7" s="1"/>
  <c r="O638" i="7"/>
  <c r="L636" i="9"/>
  <c r="O636" i="9" s="1"/>
  <c r="O638" i="9"/>
  <c r="M41" i="6"/>
  <c r="P43" i="6"/>
  <c r="L18" i="13"/>
  <c r="O18" i="13" s="1"/>
  <c r="N20" i="1"/>
  <c r="N18" i="1" s="1"/>
  <c r="N12" i="1"/>
  <c r="N10" i="1" s="1"/>
  <c r="L310" i="9"/>
  <c r="O312" i="9"/>
  <c r="N37" i="19"/>
  <c r="N8" i="3"/>
  <c r="O68" i="21"/>
  <c r="L66" i="21"/>
  <c r="O66" i="21" s="1"/>
  <c r="O57" i="1"/>
  <c r="L55" i="1"/>
  <c r="P12" i="8"/>
  <c r="N37" i="11"/>
  <c r="P41" i="11"/>
  <c r="L53" i="19"/>
  <c r="O53" i="19" s="1"/>
  <c r="O55" i="19"/>
  <c r="P26" i="20"/>
  <c r="M16" i="20"/>
  <c r="M20" i="20"/>
  <c r="O29" i="14"/>
  <c r="L28" i="14"/>
  <c r="O28" i="14" s="1"/>
  <c r="P41" i="7"/>
  <c r="M20" i="13"/>
  <c r="P26" i="13"/>
  <c r="M16" i="13"/>
  <c r="L20" i="20"/>
  <c r="O22" i="20"/>
  <c r="L12" i="20"/>
  <c r="L41" i="3"/>
  <c r="O43" i="3"/>
  <c r="P20" i="11"/>
  <c r="M18" i="11"/>
  <c r="P18" i="11" s="1"/>
  <c r="P26" i="3"/>
  <c r="M16" i="3"/>
  <c r="M20" i="3"/>
  <c r="L636" i="4"/>
  <c r="O636" i="4" s="1"/>
  <c r="O638" i="4"/>
  <c r="P41" i="20"/>
  <c r="M329" i="3"/>
  <c r="P331" i="3"/>
  <c r="M331" i="1"/>
  <c r="P331" i="1" s="1"/>
  <c r="P9" i="17"/>
  <c r="P331" i="20"/>
  <c r="M329" i="20"/>
  <c r="P329" i="20" s="1"/>
  <c r="O271" i="3"/>
  <c r="O292" i="20"/>
  <c r="L290" i="20"/>
  <c r="O290" i="20" s="1"/>
  <c r="P12" i="11"/>
  <c r="P12" i="9"/>
  <c r="L636" i="11"/>
  <c r="O636" i="11" s="1"/>
  <c r="O638" i="11"/>
  <c r="L9" i="1"/>
  <c r="O11" i="1"/>
  <c r="L29" i="1"/>
  <c r="O31" i="1"/>
  <c r="M10" i="14"/>
  <c r="P12" i="14"/>
  <c r="M16" i="16"/>
  <c r="P16" i="16" s="1"/>
  <c r="P26" i="16"/>
  <c r="O9" i="18"/>
  <c r="P9" i="1"/>
  <c r="P26" i="5"/>
  <c r="M16" i="5"/>
  <c r="M20" i="5"/>
  <c r="M37" i="19"/>
  <c r="P41" i="19"/>
  <c r="O41" i="21"/>
  <c r="L20" i="17"/>
  <c r="L12" i="17"/>
  <c r="O22" i="17"/>
  <c r="P142" i="1"/>
  <c r="O331" i="6"/>
  <c r="L329" i="6"/>
  <c r="O329" i="6" s="1"/>
  <c r="P41" i="9"/>
  <c r="M37" i="9"/>
  <c r="O222" i="14"/>
  <c r="L220" i="14"/>
  <c r="O220" i="14" s="1"/>
  <c r="P43" i="21"/>
  <c r="M41" i="21"/>
  <c r="O290" i="2"/>
  <c r="P41" i="10"/>
  <c r="L13" i="1"/>
  <c r="O13" i="1" s="1"/>
  <c r="P9" i="3"/>
  <c r="P118" i="2"/>
  <c r="M118" i="1"/>
  <c r="P312" i="1"/>
  <c r="N10" i="2"/>
  <c r="N8" i="2" s="1"/>
  <c r="P9" i="7"/>
  <c r="M310" i="1"/>
  <c r="P9" i="4"/>
  <c r="O24" i="1"/>
  <c r="L14" i="1"/>
  <c r="O14" i="1" s="1"/>
  <c r="P26" i="10"/>
  <c r="M16" i="10"/>
  <c r="M20" i="10"/>
  <c r="P68" i="18"/>
  <c r="M66" i="18"/>
  <c r="P66" i="18" s="1"/>
  <c r="P16" i="12"/>
  <c r="M10" i="12"/>
  <c r="M8" i="12" s="1"/>
  <c r="P68" i="17"/>
  <c r="M66" i="17"/>
  <c r="P66" i="17" s="1"/>
  <c r="O140" i="2"/>
  <c r="L18" i="2"/>
  <c r="O18" i="2" s="1"/>
  <c r="O20" i="2"/>
  <c r="O55" i="17"/>
  <c r="L53" i="17"/>
  <c r="O53" i="17" s="1"/>
  <c r="P12" i="10"/>
  <c r="P12" i="17"/>
  <c r="O9" i="19"/>
  <c r="P26" i="15"/>
  <c r="M16" i="15"/>
  <c r="M20" i="15"/>
  <c r="O120" i="21"/>
  <c r="L118" i="21"/>
  <c r="O118" i="21" s="1"/>
  <c r="M220" i="1"/>
  <c r="P9" i="10"/>
  <c r="L9" i="20"/>
  <c r="O11" i="20"/>
  <c r="O220" i="12"/>
  <c r="P12" i="4"/>
  <c r="O41" i="8"/>
  <c r="P41" i="18"/>
  <c r="O9" i="2"/>
  <c r="P9" i="5"/>
  <c r="O638" i="16"/>
  <c r="L636" i="16"/>
  <c r="O636" i="16" s="1"/>
  <c r="O11" i="14"/>
  <c r="L9" i="14"/>
  <c r="L636" i="8"/>
  <c r="O636" i="8" s="1"/>
  <c r="O638" i="8"/>
  <c r="M250" i="1"/>
  <c r="O68" i="4"/>
  <c r="L66" i="4"/>
  <c r="O66" i="4" s="1"/>
  <c r="O638" i="14"/>
  <c r="L636" i="14"/>
  <c r="O636" i="14" s="1"/>
  <c r="P9" i="21"/>
  <c r="P9" i="15"/>
  <c r="P41" i="5"/>
  <c r="P271" i="3"/>
  <c r="O19" i="1"/>
  <c r="P22" i="1"/>
  <c r="O94" i="2"/>
  <c r="M140" i="1"/>
  <c r="O140" i="5"/>
  <c r="O120" i="12"/>
  <c r="L118" i="12"/>
  <c r="O118" i="12" s="1"/>
  <c r="L20" i="19"/>
  <c r="O22" i="19"/>
  <c r="L12" i="19"/>
  <c r="P9" i="18"/>
  <c r="M16" i="17"/>
  <c r="P16" i="17" s="1"/>
  <c r="P26" i="17"/>
  <c r="O9" i="3"/>
  <c r="P96" i="15"/>
  <c r="M94" i="15"/>
  <c r="P94" i="15" s="1"/>
  <c r="O29" i="20"/>
  <c r="L28" i="20"/>
  <c r="O28" i="20" s="1"/>
  <c r="M37" i="12"/>
  <c r="O20" i="14"/>
  <c r="L18" i="14"/>
  <c r="O18" i="14" s="1"/>
  <c r="O20" i="21"/>
  <c r="L18" i="21"/>
  <c r="O18" i="21" s="1"/>
  <c r="O20" i="6"/>
  <c r="L18" i="6"/>
  <c r="O18" i="6" s="1"/>
  <c r="P271" i="2"/>
  <c r="M271" i="1"/>
  <c r="P41" i="15"/>
  <c r="L636" i="1"/>
  <c r="O636" i="1" s="1"/>
  <c r="O638" i="1"/>
  <c r="M26" i="1"/>
  <c r="P49" i="1"/>
  <c r="M43" i="1"/>
  <c r="O273" i="6"/>
  <c r="L271" i="6"/>
  <c r="N10" i="12"/>
  <c r="N8" i="12" s="1"/>
  <c r="P12" i="12"/>
  <c r="L310" i="16"/>
  <c r="O310" i="16" s="1"/>
  <c r="O312" i="16"/>
  <c r="O9" i="21"/>
  <c r="L312" i="1"/>
  <c r="O312" i="1" s="1"/>
  <c r="P331" i="5"/>
  <c r="M329" i="5"/>
  <c r="P329" i="5" s="1"/>
  <c r="P12" i="2"/>
  <c r="M10" i="2"/>
  <c r="M8" i="2" s="1"/>
  <c r="M37" i="2"/>
  <c r="P43" i="17"/>
  <c r="M41" i="17"/>
  <c r="P26" i="21"/>
  <c r="M16" i="21"/>
  <c r="P16" i="21" s="1"/>
  <c r="P140" i="5"/>
  <c r="O41" i="5"/>
  <c r="L636" i="20"/>
  <c r="O636" i="20" s="1"/>
  <c r="O638" i="20"/>
  <c r="N37" i="3"/>
  <c r="P9" i="12"/>
  <c r="P41" i="13"/>
  <c r="O638" i="13"/>
  <c r="L636" i="13"/>
  <c r="O636" i="13" s="1"/>
  <c r="O222" i="16"/>
  <c r="L220" i="16"/>
  <c r="O220" i="16" s="1"/>
  <c r="L9" i="10"/>
  <c r="O11" i="10"/>
  <c r="P26" i="18"/>
  <c r="M16" i="18"/>
  <c r="M20" i="18"/>
  <c r="L20" i="16"/>
  <c r="L12" i="16"/>
  <c r="O22" i="16"/>
  <c r="P26" i="9"/>
  <c r="M16" i="9"/>
  <c r="P16" i="9" s="1"/>
  <c r="P96" i="3"/>
  <c r="M96" i="1"/>
  <c r="P96" i="1" s="1"/>
  <c r="M94" i="3"/>
  <c r="O29" i="10"/>
  <c r="L28" i="10"/>
  <c r="O28" i="10" s="1"/>
  <c r="P12" i="19"/>
  <c r="M10" i="19"/>
  <c r="P10" i="19" s="1"/>
  <c r="O29" i="11"/>
  <c r="L28" i="11"/>
  <c r="O28" i="11" s="1"/>
  <c r="O250" i="2"/>
  <c r="P26" i="6"/>
  <c r="M16" i="6"/>
  <c r="M20" i="6"/>
  <c r="M16" i="8"/>
  <c r="P16" i="8" s="1"/>
  <c r="P26" i="8"/>
  <c r="O638" i="18"/>
  <c r="L636" i="18"/>
  <c r="O636" i="18" s="1"/>
  <c r="P290" i="2"/>
  <c r="M290" i="1"/>
  <c r="P290" i="1" s="1"/>
  <c r="L222" i="1"/>
  <c r="O222" i="1" s="1"/>
  <c r="O120" i="6"/>
  <c r="L118" i="6"/>
  <c r="O9" i="13"/>
  <c r="P9" i="20"/>
  <c r="O312" i="15"/>
  <c r="L310" i="15"/>
  <c r="P12" i="16"/>
  <c r="P9" i="6"/>
  <c r="O43" i="20"/>
  <c r="L41" i="20"/>
  <c r="P9" i="2"/>
  <c r="O41" i="17"/>
  <c r="P20" i="19"/>
  <c r="M18" i="19"/>
  <c r="P18" i="19" s="1"/>
  <c r="L9" i="11"/>
  <c r="O11" i="11"/>
  <c r="P43" i="8"/>
  <c r="M41" i="8"/>
  <c r="O22" i="15"/>
  <c r="L12" i="15"/>
  <c r="L20" i="15"/>
  <c r="O20" i="7"/>
  <c r="L18" i="7"/>
  <c r="O18" i="7" s="1"/>
  <c r="O43" i="12"/>
  <c r="L41" i="12"/>
  <c r="O29" i="13"/>
  <c r="L28" i="13"/>
  <c r="O28" i="13" s="1"/>
  <c r="O9" i="16"/>
  <c r="O41" i="19"/>
  <c r="P20" i="2"/>
  <c r="M18" i="2"/>
  <c r="P18" i="2" s="1"/>
  <c r="O30" i="2"/>
  <c r="L28" i="2"/>
  <c r="O28" i="2" s="1"/>
  <c r="O29" i="3"/>
  <c r="L28" i="3"/>
  <c r="O28" i="3" s="1"/>
  <c r="P9" i="9"/>
  <c r="O96" i="12"/>
  <c r="L94" i="12"/>
  <c r="O94" i="12" s="1"/>
  <c r="M20" i="8"/>
  <c r="M20" i="16"/>
  <c r="P12" i="21"/>
  <c r="L18" i="4"/>
  <c r="O18" i="4" s="1"/>
  <c r="P120" i="1"/>
  <c r="P9" i="19"/>
  <c r="P41" i="16"/>
  <c r="M37" i="16"/>
  <c r="P37" i="16" s="1"/>
  <c r="P20" i="12"/>
  <c r="P271" i="1" l="1"/>
  <c r="L10" i="11"/>
  <c r="O10" i="11" s="1"/>
  <c r="M37" i="10"/>
  <c r="P37" i="10" s="1"/>
  <c r="L37" i="2"/>
  <c r="O37" i="2" s="1"/>
  <c r="P310" i="1"/>
  <c r="P37" i="14"/>
  <c r="O12" i="9"/>
  <c r="O28" i="12"/>
  <c r="O12" i="4"/>
  <c r="M37" i="13"/>
  <c r="P37" i="13" s="1"/>
  <c r="L18" i="9"/>
  <c r="O18" i="9" s="1"/>
  <c r="O20" i="18"/>
  <c r="N8" i="1"/>
  <c r="M18" i="14"/>
  <c r="P18" i="14" s="1"/>
  <c r="O12" i="8"/>
  <c r="L37" i="11"/>
  <c r="O37" i="11" s="1"/>
  <c r="L37" i="18"/>
  <c r="O37" i="18" s="1"/>
  <c r="M10" i="16"/>
  <c r="M8" i="16" s="1"/>
  <c r="P8" i="16" s="1"/>
  <c r="P250" i="1"/>
  <c r="L18" i="10"/>
  <c r="O18" i="10" s="1"/>
  <c r="O43" i="1"/>
  <c r="M10" i="11"/>
  <c r="P10" i="11" s="1"/>
  <c r="L10" i="6"/>
  <c r="O10" i="6" s="1"/>
  <c r="P37" i="12"/>
  <c r="L250" i="1"/>
  <c r="O250" i="1" s="1"/>
  <c r="P41" i="14"/>
  <c r="O12" i="7"/>
  <c r="L37" i="5"/>
  <c r="O37" i="5" s="1"/>
  <c r="L37" i="13"/>
  <c r="O37" i="13" s="1"/>
  <c r="L329" i="1"/>
  <c r="O329" i="1" s="1"/>
  <c r="P118" i="1"/>
  <c r="M10" i="21"/>
  <c r="P10" i="21" s="1"/>
  <c r="O22" i="1"/>
  <c r="L10" i="21"/>
  <c r="O10" i="21" s="1"/>
  <c r="L10" i="13"/>
  <c r="O10" i="13" s="1"/>
  <c r="L18" i="8"/>
  <c r="O18" i="8" s="1"/>
  <c r="L10" i="18"/>
  <c r="O10" i="18" s="1"/>
  <c r="L37" i="8"/>
  <c r="O37" i="8" s="1"/>
  <c r="M37" i="7"/>
  <c r="P37" i="7" s="1"/>
  <c r="L10" i="2"/>
  <c r="L8" i="2" s="1"/>
  <c r="O8" i="2" s="1"/>
  <c r="P37" i="2"/>
  <c r="L140" i="1"/>
  <c r="O140" i="1" s="1"/>
  <c r="P37" i="9"/>
  <c r="P140" i="1"/>
  <c r="L10" i="14"/>
  <c r="O10" i="14" s="1"/>
  <c r="O12" i="10"/>
  <c r="O12" i="5"/>
  <c r="O20" i="11"/>
  <c r="P20" i="7"/>
  <c r="L18" i="5"/>
  <c r="O18" i="5" s="1"/>
  <c r="M10" i="4"/>
  <c r="P10" i="4" s="1"/>
  <c r="M37" i="15"/>
  <c r="P37" i="15" s="1"/>
  <c r="L37" i="7"/>
  <c r="O37" i="7" s="1"/>
  <c r="P12" i="1"/>
  <c r="M10" i="9"/>
  <c r="P10" i="9" s="1"/>
  <c r="L37" i="6"/>
  <c r="O37" i="6" s="1"/>
  <c r="L8" i="8"/>
  <c r="O8" i="8" s="1"/>
  <c r="P8" i="2"/>
  <c r="M37" i="18"/>
  <c r="P37" i="18" s="1"/>
  <c r="L37" i="19"/>
  <c r="O37" i="19" s="1"/>
  <c r="M8" i="19"/>
  <c r="P8" i="19" s="1"/>
  <c r="L37" i="17"/>
  <c r="O37" i="17" s="1"/>
  <c r="L37" i="10"/>
  <c r="O37" i="10" s="1"/>
  <c r="P10" i="2"/>
  <c r="M37" i="11"/>
  <c r="P37" i="11" s="1"/>
  <c r="N37" i="1"/>
  <c r="L20" i="1"/>
  <c r="L8" i="4"/>
  <c r="O8" i="4" s="1"/>
  <c r="P8" i="12"/>
  <c r="L37" i="4"/>
  <c r="O37" i="4" s="1"/>
  <c r="L8" i="9"/>
  <c r="O8" i="9" s="1"/>
  <c r="L290" i="1"/>
  <c r="O290" i="1" s="1"/>
  <c r="P37" i="19"/>
  <c r="L310" i="1"/>
  <c r="O310" i="1" s="1"/>
  <c r="M10" i="7"/>
  <c r="P16" i="7"/>
  <c r="P220" i="1"/>
  <c r="L37" i="14"/>
  <c r="O37" i="14" s="1"/>
  <c r="P10" i="12"/>
  <c r="L10" i="15"/>
  <c r="O12" i="15"/>
  <c r="P20" i="6"/>
  <c r="M18" i="6"/>
  <c r="P18" i="6" s="1"/>
  <c r="L37" i="16"/>
  <c r="O37" i="16" s="1"/>
  <c r="P16" i="6"/>
  <c r="M10" i="6"/>
  <c r="O12" i="16"/>
  <c r="L10" i="16"/>
  <c r="O20" i="19"/>
  <c r="L18" i="19"/>
  <c r="O18" i="19" s="1"/>
  <c r="P20" i="10"/>
  <c r="M18" i="10"/>
  <c r="P18" i="10" s="1"/>
  <c r="O41" i="1"/>
  <c r="L10" i="17"/>
  <c r="O12" i="17"/>
  <c r="P10" i="14"/>
  <c r="M8" i="14"/>
  <c r="P8" i="14" s="1"/>
  <c r="P16" i="13"/>
  <c r="M10" i="13"/>
  <c r="P16" i="20"/>
  <c r="M10" i="20"/>
  <c r="O55" i="1"/>
  <c r="L53" i="1"/>
  <c r="O53" i="1" s="1"/>
  <c r="P41" i="6"/>
  <c r="M37" i="6"/>
  <c r="P37" i="6" s="1"/>
  <c r="O12" i="3"/>
  <c r="L10" i="3"/>
  <c r="O20" i="16"/>
  <c r="L18" i="16"/>
  <c r="O18" i="16" s="1"/>
  <c r="O271" i="6"/>
  <c r="L271" i="1"/>
  <c r="O271" i="1" s="1"/>
  <c r="P94" i="3"/>
  <c r="M94" i="1"/>
  <c r="P94" i="1" s="1"/>
  <c r="M37" i="3"/>
  <c r="P37" i="3" s="1"/>
  <c r="P20" i="18"/>
  <c r="M18" i="18"/>
  <c r="P18" i="18" s="1"/>
  <c r="P16" i="15"/>
  <c r="M10" i="15"/>
  <c r="L220" i="1"/>
  <c r="O220" i="1" s="1"/>
  <c r="L66" i="1"/>
  <c r="O66" i="1" s="1"/>
  <c r="L37" i="21"/>
  <c r="O37" i="21" s="1"/>
  <c r="O29" i="1"/>
  <c r="L28" i="1"/>
  <c r="O28" i="1" s="1"/>
  <c r="O41" i="3"/>
  <c r="L37" i="3"/>
  <c r="O37" i="3" s="1"/>
  <c r="P20" i="13"/>
  <c r="M18" i="13"/>
  <c r="P18" i="13" s="1"/>
  <c r="O20" i="3"/>
  <c r="L18" i="3"/>
  <c r="O18" i="3" s="1"/>
  <c r="O20" i="17"/>
  <c r="L18" i="17"/>
  <c r="O18" i="17" s="1"/>
  <c r="O10" i="7"/>
  <c r="L8" i="7"/>
  <c r="O8" i="7" s="1"/>
  <c r="O41" i="12"/>
  <c r="L37" i="12"/>
  <c r="O37" i="12" s="1"/>
  <c r="P16" i="10"/>
  <c r="M10" i="10"/>
  <c r="P16" i="18"/>
  <c r="M10" i="18"/>
  <c r="M41" i="1"/>
  <c r="P43" i="1"/>
  <c r="O9" i="11"/>
  <c r="O118" i="6"/>
  <c r="L118" i="1"/>
  <c r="O118" i="1" s="1"/>
  <c r="O12" i="1"/>
  <c r="L10" i="1"/>
  <c r="O10" i="1" s="1"/>
  <c r="O9" i="1"/>
  <c r="M18" i="3"/>
  <c r="P18" i="3" s="1"/>
  <c r="P20" i="3"/>
  <c r="P41" i="8"/>
  <c r="M37" i="8"/>
  <c r="P37" i="8" s="1"/>
  <c r="O9" i="20"/>
  <c r="O310" i="9"/>
  <c r="L37" i="9"/>
  <c r="O37" i="9" s="1"/>
  <c r="P20" i="16"/>
  <c r="M18" i="16"/>
  <c r="P18" i="16" s="1"/>
  <c r="O310" i="15"/>
  <c r="L37" i="15"/>
  <c r="O37" i="15" s="1"/>
  <c r="P26" i="1"/>
  <c r="M16" i="1"/>
  <c r="M20" i="1"/>
  <c r="M37" i="5"/>
  <c r="P37" i="5" s="1"/>
  <c r="P329" i="3"/>
  <c r="M329" i="1"/>
  <c r="P329" i="1" s="1"/>
  <c r="P16" i="3"/>
  <c r="M10" i="3"/>
  <c r="O12" i="20"/>
  <c r="L10" i="20"/>
  <c r="O10" i="20" s="1"/>
  <c r="P20" i="8"/>
  <c r="M18" i="8"/>
  <c r="P18" i="8" s="1"/>
  <c r="O9" i="10"/>
  <c r="L8" i="10"/>
  <c r="O8" i="10" s="1"/>
  <c r="L10" i="19"/>
  <c r="O12" i="19"/>
  <c r="M10" i="17"/>
  <c r="M66" i="1"/>
  <c r="P66" i="1" s="1"/>
  <c r="P41" i="21"/>
  <c r="M37" i="21"/>
  <c r="P37" i="21" s="1"/>
  <c r="P20" i="5"/>
  <c r="M18" i="5"/>
  <c r="P18" i="5" s="1"/>
  <c r="M10" i="8"/>
  <c r="O10" i="5"/>
  <c r="L8" i="5"/>
  <c r="O8" i="5" s="1"/>
  <c r="O41" i="20"/>
  <c r="L37" i="20"/>
  <c r="O37" i="20" s="1"/>
  <c r="P20" i="15"/>
  <c r="M18" i="15"/>
  <c r="P18" i="15" s="1"/>
  <c r="O20" i="12"/>
  <c r="L18" i="12"/>
  <c r="O18" i="12" s="1"/>
  <c r="O20" i="15"/>
  <c r="L18" i="15"/>
  <c r="O18" i="15" s="1"/>
  <c r="P41" i="17"/>
  <c r="M37" i="17"/>
  <c r="P37" i="17" s="1"/>
  <c r="L94" i="1"/>
  <c r="O94" i="1" s="1"/>
  <c r="O9" i="14"/>
  <c r="P16" i="5"/>
  <c r="M10" i="5"/>
  <c r="M37" i="20"/>
  <c r="P37" i="20" s="1"/>
  <c r="O20" i="20"/>
  <c r="L18" i="20"/>
  <c r="O18" i="20" s="1"/>
  <c r="P20" i="20"/>
  <c r="M18" i="20"/>
  <c r="P18" i="20" s="1"/>
  <c r="O12" i="12"/>
  <c r="L10" i="12"/>
  <c r="L8" i="11" l="1"/>
  <c r="O8" i="11" s="1"/>
  <c r="M8" i="11"/>
  <c r="P8" i="11" s="1"/>
  <c r="L8" i="6"/>
  <c r="O8" i="6" s="1"/>
  <c r="P10" i="16"/>
  <c r="L8" i="14"/>
  <c r="O8" i="14" s="1"/>
  <c r="L8" i="18"/>
  <c r="O8" i="18" s="1"/>
  <c r="M8" i="21"/>
  <c r="P8" i="21" s="1"/>
  <c r="O10" i="2"/>
  <c r="L8" i="21"/>
  <c r="O8" i="21" s="1"/>
  <c r="M8" i="4"/>
  <c r="P8" i="4" s="1"/>
  <c r="L8" i="1"/>
  <c r="O8" i="1" s="1"/>
  <c r="L8" i="13"/>
  <c r="O8" i="13" s="1"/>
  <c r="M8" i="9"/>
  <c r="P8" i="9" s="1"/>
  <c r="P10" i="7"/>
  <c r="M8" i="7"/>
  <c r="P8" i="7" s="1"/>
  <c r="O20" i="1"/>
  <c r="L18" i="1"/>
  <c r="O18" i="1" s="1"/>
  <c r="P10" i="8"/>
  <c r="M8" i="8"/>
  <c r="P8" i="8" s="1"/>
  <c r="P10" i="17"/>
  <c r="M8" i="17"/>
  <c r="P8" i="17" s="1"/>
  <c r="L8" i="20"/>
  <c r="O8" i="20" s="1"/>
  <c r="P10" i="18"/>
  <c r="M8" i="18"/>
  <c r="P8" i="18" s="1"/>
  <c r="P10" i="3"/>
  <c r="M8" i="3"/>
  <c r="P8" i="3" s="1"/>
  <c r="P10" i="15"/>
  <c r="M8" i="15"/>
  <c r="P8" i="15" s="1"/>
  <c r="O10" i="17"/>
  <c r="L8" i="17"/>
  <c r="O8" i="17" s="1"/>
  <c r="O10" i="19"/>
  <c r="L8" i="19"/>
  <c r="O8" i="19" s="1"/>
  <c r="P10" i="10"/>
  <c r="M8" i="10"/>
  <c r="P8" i="10" s="1"/>
  <c r="P10" i="20"/>
  <c r="M8" i="20"/>
  <c r="P8" i="20" s="1"/>
  <c r="L37" i="1"/>
  <c r="O37" i="1" s="1"/>
  <c r="P10" i="6"/>
  <c r="M8" i="6"/>
  <c r="P8" i="6" s="1"/>
  <c r="P10" i="5"/>
  <c r="M8" i="5"/>
  <c r="P8" i="5" s="1"/>
  <c r="O10" i="3"/>
  <c r="L8" i="3"/>
  <c r="O8" i="3" s="1"/>
  <c r="P10" i="13"/>
  <c r="M8" i="13"/>
  <c r="P8" i="13" s="1"/>
  <c r="P20" i="1"/>
  <c r="M18" i="1"/>
  <c r="P18" i="1" s="1"/>
  <c r="P16" i="1"/>
  <c r="M10" i="1"/>
  <c r="P41" i="1"/>
  <c r="M37" i="1"/>
  <c r="P37" i="1" s="1"/>
  <c r="O10" i="12"/>
  <c r="L8" i="12"/>
  <c r="O8" i="12" s="1"/>
  <c r="O10" i="16"/>
  <c r="L8" i="16"/>
  <c r="O8" i="16" s="1"/>
  <c r="O10" i="15"/>
  <c r="L8" i="15"/>
  <c r="O8" i="15" s="1"/>
  <c r="P10" i="1" l="1"/>
  <c r="M8" i="1"/>
  <c r="P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<sst xmlns="http://schemas.openxmlformats.org/spreadsheetml/2006/main" count="27636" uniqueCount="301">
  <si>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</si>
  <si>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</si>
  <si>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</si>
  <si>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</si>
  <si>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</si>
  <si>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</si>
  <si>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</si>
  <si>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</si>
  <si>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</si>
  <si>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</si>
  <si>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</si>
  <si>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</si>
  <si>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</si>
  <si>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</si>
  <si>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</si>
  <si>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</si>
  <si>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</si>
  <si>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</si>
  <si>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</si>
  <si>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</si>
  <si>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</si>
  <si>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</si>
  <si>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</si>
  <si>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</si>
  <si>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</si>
  <si>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</si>
  <si>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</si>
  <si>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</si>
  <si>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</si>
  <si>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</si>
  <si>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</si>
  <si>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</si>
  <si>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</si>
  <si>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</si>
  <si>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</si>
  <si>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</si>
  <si>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</si>
  <si>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</si>
  <si>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</si>
  <si>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</si>
  <si>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</si>
  <si>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</si>
  <si>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</si>
  <si>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</si>
  <si>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</si>
  <si>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</si>
  <si>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</si>
  <si>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</si>
  <si>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</si>
  <si>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</si>
  <si>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</si>
  <si>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</si>
  <si>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</si>
  <si>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</si>
  <si>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</si>
  <si>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</si>
  <si>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</si>
  <si>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</si>
  <si>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</si>
  <si>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</si>
  <si>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</si>
  <si>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</si>
  <si>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</si>
  <si>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</si>
  <si>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</si>
  <si>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</si>
  <si>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</si>
  <si>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</si>
  <si>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</si>
  <si>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</si>
  <si>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</si>
  <si>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</si>
  <si>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</si>
  <si>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</si>
  <si>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</si>
  <si>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</si>
  <si>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</si>
  <si>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</si>
  <si>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</si>
  <si>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</si>
  <si>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</si>
  <si>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</si>
  <si>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</si>
  <si>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</si>
  <si>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</si>
  <si>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</si>
  <si>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</si>
  <si>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</si>
  <si>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</si>
  <si>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</si>
  <si>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</si>
  <si>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</si>
  <si>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</si>
  <si>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</si>
  <si>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</si>
  <si>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</si>
  <si>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</si>
  <si>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</si>
  <si>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</si>
  <si>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</si>
  <si>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</si>
  <si>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</si>
  <si>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</si>
  <si>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</si>
  <si>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</si>
  <si>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</si>
  <si>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</si>
  <si>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</si>
  <si>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</si>
  <si>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</si>
  <si>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</si>
  <si>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</si>
  <si>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</si>
  <si>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</si>
  <si>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</si>
  <si>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</si>
  <si>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</si>
  <si>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</si>
  <si>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</si>
  <si>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</si>
  <si>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</si>
  <si>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</si>
  <si>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</si>
  <si>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</si>
  <si>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</si>
  <si>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</si>
  <si>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</si>
  <si>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</si>
  <si>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</si>
  <si>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</si>
  <si>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</si>
  <si>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</si>
  <si>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</si>
  <si>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</si>
  <si>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</si>
  <si>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</si>
  <si>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</si>
  <si>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</si>
  <si>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</si>
  <si>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</si>
  <si>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</si>
  <si>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</si>
  <si>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</si>
  <si>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</si>
  <si>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</si>
  <si>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</si>
  <si>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</si>
  <si>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</si>
  <si>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</si>
  <si>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</si>
  <si>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</si>
  <si>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</si>
  <si>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</si>
  <si>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</si>
  <si>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</si>
  <si>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</si>
  <si>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</si>
  <si>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</si>
  <si>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</si>
  <si>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</si>
  <si>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</si>
  <si>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</si>
  <si>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</si>
  <si>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</si>
  <si>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</si>
  <si>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</si>
  <si>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</si>
  <si>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</si>
  <si>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</si>
  <si>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</si>
  <si>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</si>
  <si>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</si>
  <si>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</si>
  <si>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</si>
  <si>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</si>
  <si>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</si>
  <si>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</si>
  <si>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</si>
  <si>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</si>
  <si>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</si>
  <si>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</si>
  <si>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</si>
  <si>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</si>
  <si>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</si>
  <si>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</si>
  <si>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</si>
  <si>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</si>
  <si>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</si>
  <si>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</si>
  <si>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</si>
  <si>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</si>
  <si>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</si>
  <si>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</si>
  <si>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</si>
  <si>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</si>
  <si>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</si>
  <si>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</si>
  <si>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</si>
  <si>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</si>
  <si>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</si>
  <si>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</si>
  <si>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</si>
  <si>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</si>
  <si>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</si>
  <si>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</si>
  <si>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</si>
  <si>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</si>
  <si>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</si>
  <si>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</si>
  <si>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</si>
  <si>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</si>
  <si>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</si>
  <si>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</si>
  <si>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</si>
  <si>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</si>
  <si>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</si>
  <si>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</si>
  <si>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</si>
  <si>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</si>
  <si>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</si>
  <si>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</si>
  <si>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</si>
  <si>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</si>
  <si>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</si>
  <si>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</si>
  <si>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</si>
  <si>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</si>
  <si>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</si>
  <si>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</si>
  <si>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</si>
  <si>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</si>
  <si>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</si>
  <si>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</si>
  <si>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</si>
  <si>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</si>
  <si>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</si>
  <si>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</si>
  <si>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</si>
  <si>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</si>
  <si>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</si>
  <si>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</si>
  <si>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</si>
  <si>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</si>
  <si>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</si>
  <si>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</si>
  <si>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</si>
  <si>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</si>
  <si>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</si>
  <si>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</si>
  <si>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</si>
  <si>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</si>
  <si>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</si>
  <si>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</si>
  <si>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</si>
  <si>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</si>
  <si>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</si>
  <si>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</si>
  <si>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</si>
  <si>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</si>
  <si>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</si>
  <si>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</si>
  <si>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</si>
  <si>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</si>
  <si>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</si>
  <si>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</si>
  <si>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</si>
  <si>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</si>
  <si>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</si>
  <si>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</si>
  <si>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</si>
  <si>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</si>
  <si>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</si>
  <si>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</si>
  <si>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</si>
  <si>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</si>
  <si>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</si>
  <si>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</si>
  <si>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</si>
  <si>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</si>
  <si>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</si>
  <si>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</si>
  <si>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</si>
  <si>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</si>
  <si>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</si>
  <si>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</si>
  <si>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</si>
  <si>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</si>
  <si>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</si>
  <si>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</si>
  <si>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</si>
  <si>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</si>
  <si>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</si>
  <si>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</si>
  <si>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</si>
  <si>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</si>
  <si>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</si>
  <si>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</si>
  <si>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</si>
  <si>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</si>
  <si>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</si>
  <si>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สิงหาคม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</si>
</sst>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  <xf numFmtId="0" fontId="24" fillId="8" borderId="5" xfId="0" applyFont="1" applyFill="1" applyBorder="1" applyAlignment="1">
      <alignment horizontal="left"/>
    </xf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6.7109375" customWidth="1"/>
    <col min="8" max="8" width="10.85546875" customWidth="1"/>
    <col min="9" max="10" width="17.5703125" bestFit="1" customWidth="1"/>
    <col min="11" max="11" width="11.28515625" bestFit="1" customWidth="1"/>
    <col min="12" max="12" width="21.1406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1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146703040</v>
      </c>
      <c r="M8" s="23">
        <f t="shared" ca="1" si="0"/>
        <v>92830897.289999992</v>
      </c>
      <c r="N8" s="23">
        <f t="shared" ca="1" si="0"/>
        <v>121077879.63</v>
      </c>
      <c r="O8" s="22">
        <f t="shared" ref="O8:O16" ca="1" si="1">IF(L8&gt;0,N8*100/L8,0)</f>
        <v>82.532631655076813</v>
      </c>
      <c r="P8" s="22">
        <f t="shared" ref="P8:P16" ca="1" si="2">IF(M8&gt;0,N8*100/M8,0)</f>
        <v>130.42842756518615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146703040</v>
      </c>
      <c r="M10" s="30">
        <f t="shared" ca="1" si="4"/>
        <v>92830897.289999992</v>
      </c>
      <c r="N10" s="30">
        <f t="shared" ca="1" si="4"/>
        <v>121077879.63</v>
      </c>
      <c r="O10" s="29">
        <f t="shared" ca="1" si="1"/>
        <v>82.532631655076813</v>
      </c>
      <c r="P10" s="29">
        <f t="shared" ca="1" si="2"/>
        <v>130.42842756518615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134837711</v>
      </c>
      <c r="M12" s="38">
        <f t="shared" ca="1" si="6"/>
        <v>81043768.289999992</v>
      </c>
      <c r="N12" s="38">
        <f t="shared" ca="1" si="6"/>
        <v>109843640.63</v>
      </c>
      <c r="O12" s="38">
        <f t="shared" ca="1" si="1"/>
        <v>81.463590426865082</v>
      </c>
      <c r="P12" s="38">
        <f t="shared" ca="1" si="2"/>
        <v>135.53619599343534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90200211</v>
      </c>
      <c r="M14" s="38">
        <f t="shared" si="8"/>
        <v>0</v>
      </c>
      <c r="N14" s="38">
        <f t="shared" ca="1" si="8"/>
        <v>39765986.029999994</v>
      </c>
      <c r="O14" s="38">
        <f t="shared" ca="1" si="1"/>
        <v>44.086355884466826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11865329</v>
      </c>
      <c r="M16" s="38">
        <f t="shared" ca="1" si="10"/>
        <v>11787129</v>
      </c>
      <c r="N16" s="38">
        <f t="shared" ca="1" si="10"/>
        <v>11234239</v>
      </c>
      <c r="O16" s="49">
        <f t="shared" ca="1" si="1"/>
        <v>94.681226285423691</v>
      </c>
      <c r="P16" s="49">
        <f t="shared" ca="1" si="2"/>
        <v>95.30937516676029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90134960</v>
      </c>
      <c r="M18" s="23">
        <f t="shared" ca="1" si="11"/>
        <v>92830897.289999992</v>
      </c>
      <c r="N18" s="23">
        <f t="shared" ca="1" si="11"/>
        <v>81311893.599999994</v>
      </c>
      <c r="O18" s="22">
        <f t="shared" ref="O18:O26" ca="1" si="12">IF(L18&gt;0,N18*100/L18,0)</f>
        <v>90.21127163089659</v>
      </c>
      <c r="P18" s="22">
        <f t="shared" ref="P18:P26" ca="1" si="13">IF(M18&gt;0,N18*100/M18,0)</f>
        <v>87.591411883033842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90134960</v>
      </c>
      <c r="M20" s="30">
        <f t="shared" ca="1" si="15"/>
        <v>92830897.289999992</v>
      </c>
      <c r="N20" s="30">
        <f t="shared" ca="1" si="15"/>
        <v>81311893.599999994</v>
      </c>
      <c r="O20" s="29">
        <f t="shared" ca="1" si="12"/>
        <v>90.21127163089659</v>
      </c>
      <c r="P20" s="29">
        <f t="shared" ca="1" si="13"/>
        <v>87.591411883033842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78269631</v>
      </c>
      <c r="M22" s="41">
        <f t="shared" ca="1" si="17"/>
        <v>81043768.289999992</v>
      </c>
      <c r="N22" s="38">
        <f t="shared" ca="1" si="17"/>
        <v>70077654.599999994</v>
      </c>
      <c r="O22" s="38">
        <f t="shared" ca="1" si="12"/>
        <v>89.533646325737749</v>
      </c>
      <c r="P22" s="38">
        <f t="shared" ca="1" si="13"/>
        <v>86.4688995571383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33632131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11865329</v>
      </c>
      <c r="M26" s="49">
        <f t="shared" ca="1" si="21"/>
        <v>11787129</v>
      </c>
      <c r="N26" s="49">
        <f t="shared" ca="1" si="21"/>
        <v>11234239</v>
      </c>
      <c r="O26" s="49">
        <f t="shared" ca="1" si="12"/>
        <v>94.681226285423691</v>
      </c>
      <c r="P26" s="49">
        <f t="shared" ca="1" si="13"/>
        <v>95.30937516676029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2">L29+L30</f>
        <v>56568080</v>
      </c>
      <c r="M28" s="23">
        <f t="shared" si="22"/>
        <v>0</v>
      </c>
      <c r="N28" s="23">
        <f t="shared" ca="1" si="22"/>
        <v>39765986.029999994</v>
      </c>
      <c r="O28" s="22">
        <f t="shared" ref="O28:O30" ca="1" si="23">IF(L28&gt;0,N28*100/L28,0)</f>
        <v>70.297570697113983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56568080</v>
      </c>
      <c r="M30" s="30">
        <f t="shared" si="26"/>
        <v>0</v>
      </c>
      <c r="N30" s="30">
        <f t="shared" ca="1" si="26"/>
        <v>39765986.029999994</v>
      </c>
      <c r="O30" s="29">
        <f t="shared" ca="1" si="23"/>
        <v>70.297570697113983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56568080</v>
      </c>
      <c r="M32" s="38">
        <f t="shared" si="29"/>
        <v>0</v>
      </c>
      <c r="N32" s="38">
        <f t="shared" ca="1" si="29"/>
        <v>39765986.029999994</v>
      </c>
      <c r="O32" s="38">
        <f t="shared" ca="1" si="28"/>
        <v>70.297570697113983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56568080</v>
      </c>
      <c r="M34" s="38">
        <f t="shared" si="31"/>
        <v>0</v>
      </c>
      <c r="N34" s="38">
        <f t="shared" ca="1" si="31"/>
        <v>39765986.029999994</v>
      </c>
      <c r="O34" s="38">
        <f t="shared" ca="1" si="28"/>
        <v>70.297570697113983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90134960</v>
      </c>
      <c r="M37" s="54">
        <f t="shared" ca="1" si="32"/>
        <v>92830897.289999992</v>
      </c>
      <c r="N37" s="54">
        <f t="shared" ca="1" si="32"/>
        <v>81311893.599999994</v>
      </c>
      <c r="O37" s="55">
        <f t="shared" ca="1" si="28"/>
        <v>90.21127163089659</v>
      </c>
      <c r="P37" s="55">
        <f t="shared" ca="1" si="24"/>
        <v>87.591411883033842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3">L42+L43</f>
        <v>24891699</v>
      </c>
      <c r="M41" s="78">
        <f t="shared" ca="1" si="33"/>
        <v>24803110</v>
      </c>
      <c r="N41" s="78">
        <f t="shared" ca="1" si="33"/>
        <v>22734431.379999999</v>
      </c>
      <c r="O41" s="77">
        <f t="shared" ref="O41:O43" ca="1" si="34">IF(L41&gt;0,N41*100/L41,0)</f>
        <v>91.333385398883379</v>
      </c>
      <c r="P41" s="77">
        <f t="shared" ref="P41:P43" ca="1" si="35">IF(M41&gt;0,N41*100/M41,0)</f>
        <v>91.659599864694385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24891699</v>
      </c>
      <c r="M43" s="78">
        <f t="shared" ca="1" si="37"/>
        <v>24803110</v>
      </c>
      <c r="N43" s="78">
        <f t="shared" ca="1" si="37"/>
        <v>22734431.379999999</v>
      </c>
      <c r="O43" s="77">
        <f t="shared" ca="1" si="34"/>
        <v>91.333385398883379</v>
      </c>
      <c r="P43" s="77">
        <f t="shared" ca="1" si="35"/>
        <v>91.659599864694385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16309711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14576422.379999999</v>
      </c>
      <c r="O45" s="38">
        <f ca="1">IF(L45&gt;0,N45*100/L45,0)</f>
        <v>89.315766324961245</v>
      </c>
      <c r="P45" s="38">
        <f ca="1">IF(M45&gt;0,N45*100/M45,0)</f>
        <v>89.372658902417101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8571599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8493399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8158009</v>
      </c>
      <c r="O49" s="49">
        <f ca="1">IF(L49&gt;0,N49*100/L49,0)</f>
        <v>95.174879272817122</v>
      </c>
      <c r="P49" s="49">
        <f ca="1">IF(M49&gt;0,N49*100/M49,0)</f>
        <v>96.051168678169958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13835238.290000001</v>
      </c>
      <c r="N53" s="121">
        <f t="shared" ca="1" si="38"/>
        <v>12617694.470000001</v>
      </c>
      <c r="O53" s="120">
        <f t="shared" ref="O53:O55" ca="1" si="39">IF(L53&gt;0,N53*100/L53,0)</f>
        <v>98.971624545055221</v>
      </c>
      <c r="P53" s="120">
        <f t="shared" ref="P53:P55" ca="1" si="40">IF(M53&gt;0,N53*100/M53,0)</f>
        <v>91.199690280144779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13835238.290000001</v>
      </c>
      <c r="N55" s="121">
        <f t="shared" ca="1" si="42"/>
        <v>12617694.470000001</v>
      </c>
      <c r="O55" s="120">
        <f t="shared" ca="1" si="39"/>
        <v>98.971624545055221</v>
      </c>
      <c r="P55" s="120">
        <f t="shared" ca="1" si="40"/>
        <v>91.199690280144779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13835238.290000001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12617694.470000001</v>
      </c>
      <c r="O57" s="38">
        <f ca="1">IF(L57&gt;0,N57*100/L57,0)</f>
        <v>98.971624545055221</v>
      </c>
      <c r="P57" s="38">
        <f ca="1">IF(M57&gt;0,N57*100/M57,0)</f>
        <v>91.199690280144779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11385840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11598640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10025375.199999999</v>
      </c>
      <c r="O66" s="151">
        <f t="shared" ref="O66:O68" ca="1" si="44">IF(L66&gt;0,N66*100/L66,0)</f>
        <v>88.05125664860914</v>
      </c>
      <c r="P66" s="151">
        <f t="shared" ref="P66:P68" ca="1" si="45">IF(M66&gt;0,N66*100/M66,0)</f>
        <v>86.4357821261803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11385840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11598640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10025375.199999999</v>
      </c>
      <c r="O68" s="156">
        <f t="shared" ca="1" si="44"/>
        <v>88.05125664860914</v>
      </c>
      <c r="P68" s="156">
        <f t="shared" ca="1" si="45"/>
        <v>86.4357821261803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10908700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9535435.2000000011</v>
      </c>
      <c r="O70" s="169">
        <f ca="1">IF(L70&gt;0,N70*100/L70,0)</f>
        <v>89.150377247356474</v>
      </c>
      <c r="P70" s="169">
        <f ca="1">IF(M70&gt;0,N70*100/M70,0)</f>
        <v>87.411288237828529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689940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689940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489940</v>
      </c>
      <c r="O74" s="49">
        <f ca="1">IF(L74&gt;0,N74*100/L74,0)</f>
        <v>71.011972055541065</v>
      </c>
      <c r="P74" s="49">
        <f ca="1">IF(M74&gt;0,N74*100/M74,0)</f>
        <v>71.011972055541065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15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13</v>
      </c>
      <c r="K88" s="163">
        <f t="shared" ca="1" si="46"/>
        <v>86.666666666666671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2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2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2565880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2519658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2173895.75</v>
      </c>
      <c r="O94" s="151">
        <f t="shared" ref="O94:O96" ca="1" si="48">IF(L94&gt;0,N94*100/L94,0)</f>
        <v>84.723204124900619</v>
      </c>
      <c r="P94" s="151">
        <f t="shared" ref="P94:P96" ca="1" si="49">IF(M94&gt;0,N94*100/M94,0)</f>
        <v>86.277413442618013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2565880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2519658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2173895.75</v>
      </c>
      <c r="O96" s="156">
        <f t="shared" ca="1" si="48"/>
        <v>84.723204124900619</v>
      </c>
      <c r="P96" s="156">
        <f t="shared" ca="1" si="49"/>
        <v>86.277413442618013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1319658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973895.75</v>
      </c>
      <c r="O98" s="169">
        <f ca="1">IF(L98&gt;0,N98*100/L98,0)</f>
        <v>71.301706592087157</v>
      </c>
      <c r="P98" s="169">
        <f ca="1">IF(M98&gt;0,N98*100/M98,0)</f>
        <v>73.799101736965184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1200000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1200000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11</v>
      </c>
      <c r="K108" s="225">
        <f t="shared" ref="K108:K111" ca="1" si="50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5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5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5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5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632251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632251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562476.42000000004</v>
      </c>
      <c r="O118" s="151">
        <f t="shared" ref="O118:O120" ca="1" si="51">IF(L118&gt;0,N118*100/L118,0)</f>
        <v>88.964101282560264</v>
      </c>
      <c r="P118" s="151">
        <f t="shared" ref="P118:P120" ca="1" si="52">IF(M118&gt;0,N118*100/M118,0)</f>
        <v>88.964101282560264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632251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632251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562476.42000000004</v>
      </c>
      <c r="O120" s="156">
        <f t="shared" ca="1" si="51"/>
        <v>88.964101282560264</v>
      </c>
      <c r="P120" s="156">
        <f t="shared" ca="1" si="52"/>
        <v>88.964101282560264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632251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632251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562476.42000000004</v>
      </c>
      <c r="O122" s="169">
        <f ca="1">IF(L122&gt;0,N122*100/L122,0)</f>
        <v>88.964101282560264</v>
      </c>
      <c r="P122" s="169">
        <f ca="1">IF(M122&gt;0,N122*100/M122,0)</f>
        <v>88.964101282560264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632251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5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4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5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5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3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2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4645150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4709150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4189478.5400000005</v>
      </c>
      <c r="O140" s="151">
        <f t="shared" ref="O140:O142" ca="1" si="54">IF(L140&gt;0,N140*100/L140,0)</f>
        <v>90.190382226623484</v>
      </c>
      <c r="P140" s="151">
        <f t="shared" ref="P140:P142" ca="1" si="55">IF(M140&gt;0,N140*100/M140,0)</f>
        <v>88.964644150218206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4645150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4709150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4189478.5400000005</v>
      </c>
      <c r="O142" s="156">
        <f t="shared" ca="1" si="54"/>
        <v>90.190382226623484</v>
      </c>
      <c r="P142" s="156">
        <f t="shared" ca="1" si="55"/>
        <v>88.964644150218206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4645150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4709150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4189478.5400000005</v>
      </c>
      <c r="O144" s="169">
        <f ca="1">IF(L144&gt;0,N144*100/L144,0)</f>
        <v>90.190382226623484</v>
      </c>
      <c r="P144" s="169">
        <f ca="1">IF(M144&gt;0,N144*100/M144,0)</f>
        <v>88.964644150218206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2756350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77</v>
      </c>
      <c r="K149" s="277">
        <f ca="1">IF(I149&gt;0,J149*100/I149,0)</f>
        <v>96.25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17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14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77</v>
      </c>
      <c r="K158" s="163">
        <f ca="1">IF(I158&gt;0,J158*100/I158,0)</f>
        <v>96.25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1904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1904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3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4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5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66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11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14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9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66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9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11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5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6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8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20</v>
      </c>
      <c r="K185" s="225">
        <f t="shared" ref="K185:K186" ca="1" si="56">IF(I185&gt;0,J185*100/I185,0)</f>
        <v>74.074074074074076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27</v>
      </c>
      <c r="K186" s="225">
        <f t="shared" ca="1" si="56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6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8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5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653800</v>
      </c>
      <c r="K189" s="286">
        <f ca="1">IF(I189&gt;0,J189*100/I189,0)</f>
        <v>69.273151091332906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16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15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753800</v>
      </c>
      <c r="K199" s="163">
        <f t="shared" ref="K199:K201" ca="1" si="57">IF(I199&gt;0,J199*100/I199,0)</f>
        <v>79.868616232252592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653800</v>
      </c>
      <c r="K200" s="163">
        <f t="shared" ca="1" si="57"/>
        <v>69.273151091332906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4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6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5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50</v>
      </c>
      <c r="K215" s="225">
        <f t="shared" ref="K215:K216" ca="1" si="5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16</v>
      </c>
      <c r="K216" s="225">
        <f t="shared" ca="1" si="58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400206</v>
      </c>
      <c r="O220" s="151">
        <f t="shared" ref="O220:O222" ca="1" si="59">IF(L220&gt;0,N220*100/L220,0)</f>
        <v>99.916612573026413</v>
      </c>
      <c r="P220" s="151">
        <f t="shared" ref="P220:P222" ca="1" si="60">IF(M220&gt;0,N220*100/M220,0)</f>
        <v>99.916612573026413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400206</v>
      </c>
      <c r="O222" s="156">
        <f t="shared" ca="1" si="59"/>
        <v>99.916612573026413</v>
      </c>
      <c r="P222" s="156">
        <f t="shared" ca="1" si="60"/>
        <v>99.916612573026413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400206</v>
      </c>
      <c r="O224" s="169">
        <f ca="1">IF(L224&gt;0,N224*100/L224,0)</f>
        <v>99.916612573026413</v>
      </c>
      <c r="P224" s="169">
        <f ca="1">IF(M224&gt;0,N224*100/M224,0)</f>
        <v>99.916612573026413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4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7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5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9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16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7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240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1364900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1206815.6499999999</v>
      </c>
      <c r="O250" s="151">
        <f t="shared" ref="O250:O252" ca="1" si="61">IF(L250&gt;0,N250*100/L250,0)</f>
        <v>88.417880430800778</v>
      </c>
      <c r="P250" s="151">
        <f t="shared" ref="P250:P252" ca="1" si="62">IF(M250&gt;0,N250*100/M250,0)</f>
        <v>88.417880430800778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1364900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1206815.6499999999</v>
      </c>
      <c r="O252" s="156">
        <f t="shared" ca="1" si="61"/>
        <v>88.417880430800778</v>
      </c>
      <c r="P252" s="156">
        <f t="shared" ca="1" si="62"/>
        <v>88.417880430800778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1364900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1206815.6499999999</v>
      </c>
      <c r="O254" s="169">
        <f ca="1">IF(L254&gt;0,N254*100/L254,0)</f>
        <v>88.417880430800778</v>
      </c>
      <c r="P254" s="169">
        <f ca="1">IF(M254&gt;0,N254*100/M254,0)</f>
        <v>88.417880430800778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8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7</v>
      </c>
      <c r="K264" s="163">
        <f t="shared" ref="K264:K267" ca="1" si="63">IF(I264&gt;0,J264*100/I264,0)</f>
        <v>77.777777777777771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240</v>
      </c>
      <c r="K265" s="163">
        <f t="shared" ca="1" si="63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146</v>
      </c>
      <c r="K266" s="163">
        <f t="shared" ca="1" si="63"/>
        <v>60.833333333333336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8</v>
      </c>
      <c r="K267" s="163">
        <f t="shared" ca="1" si="63"/>
        <v>88.888888888888886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2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2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7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2061040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1642906.43</v>
      </c>
      <c r="O271" s="151">
        <f t="shared" ref="O271:O273" ca="1" si="64">IF(L271&gt;0,N271*100/L271,0)</f>
        <v>81.477208391192221</v>
      </c>
      <c r="P271" s="151">
        <f t="shared" ref="P271:P273" ca="1" si="65">IF(M271&gt;0,N271*100/M271,0)</f>
        <v>79.712496118464458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2061040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1642906.43</v>
      </c>
      <c r="O273" s="156">
        <f t="shared" ca="1" si="64"/>
        <v>81.477208391192221</v>
      </c>
      <c r="P273" s="156">
        <f t="shared" ca="1" si="65"/>
        <v>79.712496118464458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2061040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1642906.43</v>
      </c>
      <c r="O275" s="169">
        <f ca="1">IF(L275&gt;0,N275*100/L275,0)</f>
        <v>81.477208391192221</v>
      </c>
      <c r="P275" s="169">
        <f ca="1">IF(M275&gt;0,N275*100/M275,0)</f>
        <v>79.712496118464458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4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3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7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147180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131530</v>
      </c>
      <c r="O290" s="151">
        <f t="shared" ref="O290:O292" ca="1" si="66">IF(L290&gt;0,N290*100/L290,0)</f>
        <v>89.366761788286453</v>
      </c>
      <c r="P290" s="151">
        <f t="shared" ref="P290:P292" ca="1" si="67">IF(M290&gt;0,N290*100/M290,0)</f>
        <v>89.366761788286453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147180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131530</v>
      </c>
      <c r="O292" s="156">
        <f t="shared" ca="1" si="66"/>
        <v>89.366761788286453</v>
      </c>
      <c r="P292" s="156">
        <f t="shared" ca="1" si="67"/>
        <v>89.366761788286453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147180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131530</v>
      </c>
      <c r="O294" s="169">
        <f ca="1">IF(L294&gt;0,N294*100/L294,0)</f>
        <v>89.366761788286453</v>
      </c>
      <c r="P294" s="169">
        <f ca="1">IF(M294&gt;0,N294*100/M294,0)</f>
        <v>89.366761788286453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20</v>
      </c>
      <c r="K306" s="225">
        <f ca="1">IF(I306&gt;0,J306*100/I306,0)</f>
        <v>57.142857142857146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4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665200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509148.86</v>
      </c>
      <c r="O310" s="151">
        <f t="shared" ref="O310:O312" ca="1" si="68">IF(L310&gt;0,N310*100/L310,0)</f>
        <v>76.540718580877936</v>
      </c>
      <c r="P310" s="151">
        <f t="shared" ref="P310:P312" ca="1" si="69">IF(M310&gt;0,N310*100/M310,0)</f>
        <v>76.540718580877936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665200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509148.86</v>
      </c>
      <c r="O312" s="156">
        <f t="shared" ca="1" si="68"/>
        <v>76.540718580877936</v>
      </c>
      <c r="P312" s="156">
        <f t="shared" ca="1" si="69"/>
        <v>76.540718580877936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665200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509148.86</v>
      </c>
      <c r="O314" s="169">
        <f ca="1">IF(L314&gt;0,N314*100/L314,0)</f>
        <v>76.540718580877936</v>
      </c>
      <c r="P314" s="169">
        <f ca="1">IF(M314&gt;0,N314*100/M314,0)</f>
        <v>76.540718580877936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4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13294</v>
      </c>
      <c r="K328" s="318">
        <f ca="1">IF(I328&gt;0,J328*100/I328,0)</f>
        <v>77.071134558525131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28671120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30093990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25117934.899999995</v>
      </c>
      <c r="O329" s="151">
        <f t="shared" ref="O329:O331" ca="1" si="70">IF(L329&gt;0,N329*100/L329,0)</f>
        <v>87.607093479431555</v>
      </c>
      <c r="P329" s="151">
        <f t="shared" ref="P329:P331" ca="1" si="71">IF(M329&gt;0,N329*100/M329,0)</f>
        <v>83.46495396589151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28671120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30093990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25117934.899999995</v>
      </c>
      <c r="O331" s="156">
        <f t="shared" ca="1" si="70"/>
        <v>87.607093479431555</v>
      </c>
      <c r="P331" s="156">
        <f t="shared" ca="1" si="71"/>
        <v>83.46495396589151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27267330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28690200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23731644.899999995</v>
      </c>
      <c r="O333" s="169">
        <f ca="1">IF(L333&gt;0,N333*100/L333,0)</f>
        <v>87.033255181200346</v>
      </c>
      <c r="P333" s="169">
        <f ca="1">IF(M333&gt;0,N333*100/M333,0)</f>
        <v>82.716902984294279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18525830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1403790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1403790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1386290</v>
      </c>
      <c r="O337" s="49">
        <f ca="1">IF(L337&gt;0,N337*100/L337,0)</f>
        <v>98.753374792525946</v>
      </c>
      <c r="P337" s="49">
        <f ca="1">IF(M337&gt;0,N337*100/M337,0)</f>
        <v>98.753374792525946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13067</v>
      </c>
      <c r="K339" s="343">
        <f t="shared" ref="K339:K346" ca="1" si="7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108759.52999999997</v>
      </c>
      <c r="K340" s="343">
        <f t="shared" ca="1" si="72"/>
        <v>86.203517587939672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18609</v>
      </c>
      <c r="K341" s="343">
        <f t="shared" ca="1" si="72"/>
        <v>107.88451504435039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197400.20999999967</v>
      </c>
      <c r="K342" s="343">
        <f t="shared" ca="1" si="72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1630</v>
      </c>
      <c r="K343" s="343">
        <f t="shared" ca="1" si="72"/>
        <v>9.4498231781552562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15297.720000000001</v>
      </c>
      <c r="K344" s="343">
        <f t="shared" ca="1" si="72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13294</v>
      </c>
      <c r="K345" s="343">
        <f t="shared" ca="1" si="72"/>
        <v>77.071134558525131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137677.41999999995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56568080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39765986.029999986</v>
      </c>
      <c r="O347" s="358">
        <f ca="1">+IF(L347&gt;0,N347*100/L347,0)</f>
        <v>70.297570697113969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4119</v>
      </c>
      <c r="K349" s="372">
        <f t="shared" ref="K349:K350" ca="1" si="73">IF(I349&gt;0,J349*100/I349,0)</f>
        <v>79.165865846626943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7811330.7399999984</v>
      </c>
      <c r="O349" s="373">
        <f ca="1">+IF(L349&gt;0,N349*100/L349,0)</f>
        <v>78.298326345153583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7811330.7399999984</v>
      </c>
      <c r="O352" s="165">
        <f t="shared" ca="1" si="74"/>
        <v>78.298326345153583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7811330.7399999984</v>
      </c>
      <c r="O354" s="169">
        <f t="shared" ca="1" si="74"/>
        <v>78.298326345153583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1749086.33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3572037.31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1980557.99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509649.11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17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17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13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1359</v>
      </c>
      <c r="K372" s="163">
        <f t="shared" ca="1" si="75"/>
        <v>92.701227830832195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4119</v>
      </c>
      <c r="K375" s="163">
        <f t="shared" ref="K375:K377" ca="1" si="76">IF(I375&gt;0,J375*100/I375,0)</f>
        <v>79.165865846626943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1665</v>
      </c>
      <c r="K376" s="163">
        <f t="shared" ca="1" si="76"/>
        <v>63.695485845447593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2454</v>
      </c>
      <c r="K377" s="163">
        <f t="shared" ca="1" si="76"/>
        <v>94.785631517960596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2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12000</v>
      </c>
      <c r="K380" s="372">
        <f t="shared" ref="K380:K381" ca="1" si="77">IF(I380&gt;0,J380*100/I380,0)</f>
        <v>66.666666666666671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11622315.199999999</v>
      </c>
      <c r="O380" s="373">
        <f ca="1">+IF(L380&gt;0,N380*100/L380,0)</f>
        <v>63.520748892707388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1800</v>
      </c>
      <c r="K381" s="372">
        <f t="shared" ca="1" si="77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11622315.199999999</v>
      </c>
      <c r="O383" s="165">
        <f t="shared" ca="1" si="78"/>
        <v>63.520748892707388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11622315.199999999</v>
      </c>
      <c r="O385" s="169">
        <f t="shared" ca="1" si="78"/>
        <v>63.520748892707388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3182693.13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6159395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1623211.8699999999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657015.19999999995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19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18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1800</v>
      </c>
      <c r="K396" s="163">
        <f t="shared" ref="K396:K398" ca="1" si="79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12000</v>
      </c>
      <c r="K397" s="163">
        <f t="shared" ca="1" si="79"/>
        <v>66.666666666666671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1300</v>
      </c>
      <c r="K398" s="163">
        <f t="shared" ca="1" si="79"/>
        <v>72.222222222222229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1005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3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3294</v>
      </c>
      <c r="K401" s="372">
        <f t="shared" ref="K401:K402" ca="1" si="80">IF(I401&gt;0,J401*100/I401,0)</f>
        <v>100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3399556.75</v>
      </c>
      <c r="O401" s="373">
        <f ca="1">+IF(L401&gt;0,N401*100/L401,0)</f>
        <v>91.081106243888058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1098</v>
      </c>
      <c r="K402" s="372">
        <f t="shared" ca="1" si="80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3399556.75</v>
      </c>
      <c r="O404" s="169">
        <f t="shared" ca="1" si="81"/>
        <v>91.081106243888058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3399556.75</v>
      </c>
      <c r="O406" s="169">
        <f t="shared" ca="1" si="81"/>
        <v>91.081106243888058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2164357.7400000002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763200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471999.01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18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19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15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1098</v>
      </c>
      <c r="K416" s="202">
        <f t="shared" ref="K416:K432" ca="1" si="82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810</v>
      </c>
      <c r="K418" s="202">
        <f t="shared" ca="1" si="82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1827</v>
      </c>
      <c r="K422" s="202">
        <f t="shared" ca="1" si="82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219</v>
      </c>
      <c r="K426" s="202">
        <f t="shared" ca="1" si="82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657</v>
      </c>
      <c r="K427" s="202">
        <f t="shared" ca="1" si="82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219</v>
      </c>
      <c r="K428" s="163">
        <f t="shared" ca="1" si="82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219</v>
      </c>
      <c r="K429" s="163">
        <f t="shared" ca="1" si="82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794</v>
      </c>
      <c r="K430" s="202">
        <f t="shared" ca="1" si="82"/>
        <v>90.329920364050054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250</v>
      </c>
      <c r="K431" s="163">
        <f t="shared" ca="1" si="82"/>
        <v>92.592592592592595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544</v>
      </c>
      <c r="K432" s="163">
        <f t="shared" ca="1" si="82"/>
        <v>89.326765188834159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5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4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2468100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2128541.2999999998</v>
      </c>
      <c r="O435" s="412">
        <f t="shared" ref="O435:O439" ca="1" si="83">+IF(L435&gt;0,N435*100/L435,0)</f>
        <v>86.242101211458191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2468100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2128541.2999999998</v>
      </c>
      <c r="O437" s="169">
        <f t="shared" ca="1" si="83"/>
        <v>86.242101211458191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2468100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2128541.2999999998</v>
      </c>
      <c r="O439" s="169">
        <f t="shared" ca="1" si="83"/>
        <v>86.242101211458191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1256607.78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10548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861385.52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18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19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13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7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7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768945.02750000008</v>
      </c>
      <c r="K455" s="372">
        <f ca="1">IF(I455&gt;0,J455*100/I455,0)</f>
        <v>89.938457053363422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11182966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6362007.0199999996</v>
      </c>
      <c r="O455" s="373">
        <f t="shared" ref="O455:O459" ca="1" si="85">+IF(L455&gt;0,N455*100/L455,0)</f>
        <v>56.890157941998574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11182966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6362007.0199999996</v>
      </c>
      <c r="O457" s="169">
        <f t="shared" ca="1" si="85"/>
        <v>56.890157941998574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11182966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6362007.0199999996</v>
      </c>
      <c r="O459" s="169">
        <f t="shared" ca="1" si="85"/>
        <v>56.890157941998574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1303822.5900000001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5058184.4299999988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768945.02750000008</v>
      </c>
      <c r="K464" s="269">
        <f t="shared" ref="K464:K515" ca="1" si="86">IF(I464&gt;0,J464*100/I464,0)</f>
        <v>89.938457053363422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857538.8339999998</v>
      </c>
      <c r="K465" s="202">
        <f t="shared" ca="1" si="86"/>
        <v>100.30069359321048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102854</v>
      </c>
      <c r="K466" s="202">
        <f t="shared" ca="1" si="86"/>
        <v>100.00097226138276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694650.39350000001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86479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137890.5025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13851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2524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855302.04749999999</v>
      </c>
      <c r="K473" s="202">
        <f t="shared" ca="1" si="86"/>
        <v>100.0390713453603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711815.44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88655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118331.35250000001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11672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25155.254999999997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2526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843362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768945.02750000008</v>
      </c>
      <c r="K481" s="202">
        <f t="shared" ca="1" si="86"/>
        <v>91.176153004285254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100019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90765</v>
      </c>
      <c r="K482" s="202">
        <f t="shared" ca="1" si="86"/>
        <v>90.747757925994065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668535.61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80362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50612.44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5563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23821.780000000002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2365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23467.79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2335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353.99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30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25975.197499999998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2475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98191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57227.390500000001</v>
      </c>
      <c r="K497" s="444">
        <f t="shared" ca="1" si="86"/>
        <v>58.281706571885408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98191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57227.390500000001</v>
      </c>
      <c r="K498" s="202">
        <f t="shared" ca="1" si="86"/>
        <v>58.281706571885408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6257</v>
      </c>
      <c r="K499" s="202">
        <f t="shared" ca="1" si="86"/>
        <v>61.968901653956621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50010.178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5129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35868.479999999996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3826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13826.698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1277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315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26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3860.3824999999997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472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3195.59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408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664.79250000000002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64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3356.8300000000004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656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19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5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19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5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2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19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2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7009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438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7009</v>
      </c>
      <c r="J525" s="285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2002.89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438</v>
      </c>
      <c r="J526" s="285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161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908.4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72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822.49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63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272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26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611846</v>
      </c>
      <c r="O533" s="412">
        <f t="shared" ref="O533:O537" ca="1" si="87">+IF(L533&gt;0,N533*100/L533,0)</f>
        <v>86.723930206517267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611846</v>
      </c>
      <c r="O535" s="169">
        <f t="shared" ca="1" si="87"/>
        <v>86.723930206517267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611846</v>
      </c>
      <c r="O537" s="169">
        <f t="shared" ca="1" si="87"/>
        <v>86.723930206517267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360037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30502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221307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15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16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13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5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8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21131</v>
      </c>
      <c r="K551" s="411">
        <f ca="1">IF(I551&gt;0,J551*100/I551,0)</f>
        <v>84.524000000000001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1493113.4700000002</v>
      </c>
      <c r="O551" s="412">
        <f t="shared" ref="O551:O555" ca="1" si="89">+IF(L551&gt;0,N551*100/L551,0)</f>
        <v>94.500852531645592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1493113.4700000002</v>
      </c>
      <c r="O553" s="169">
        <f t="shared" ca="1" si="89"/>
        <v>94.500852531645592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1493113.4700000002</v>
      </c>
      <c r="O555" s="169">
        <f t="shared" ca="1" si="89"/>
        <v>94.500852531645592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315071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1178042.47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21131</v>
      </c>
      <c r="K560" s="225">
        <f t="shared" ref="K560:K561" ca="1" si="90">IF(I560&gt;0,J560*100/I560,0)</f>
        <v>84.524000000000001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1459</v>
      </c>
      <c r="K561" s="225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175227</v>
      </c>
      <c r="K564" s="372">
        <f ca="1">IF(I564&gt;0,J564*100/I564,0)</f>
        <v>232.05800556217719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2734585.049999998</v>
      </c>
      <c r="O564" s="373">
        <f t="shared" ref="O564:O568" ca="1" si="91">+IF(L564&gt;0,N564*100/L564,0)</f>
        <v>86.023538164384888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2734585.049999998</v>
      </c>
      <c r="O566" s="169">
        <f t="shared" ca="1" si="91"/>
        <v>86.023538164384888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2734585.049999998</v>
      </c>
      <c r="O568" s="169">
        <f t="shared" ca="1" si="91"/>
        <v>86.023538164384888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1759803.93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974781.12000000011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175227</v>
      </c>
      <c r="K573" s="202">
        <f ca="1">IF(I573&gt;0,J573*100/I573,0)</f>
        <v>232.05800556217719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154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12264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161715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25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1223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2474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746</v>
      </c>
      <c r="K580" s="372">
        <f ca="1">IF(I580&gt;0,J580*100/I580,0)</f>
        <v>30.1535974130962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5223674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3521611.5</v>
      </c>
      <c r="O580" s="373">
        <f t="shared" ref="O580:O584" ca="1" si="93">+IF(L580&gt;0,N580*100/L580,0)</f>
        <v>67.416372078349454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5223674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3521611.5</v>
      </c>
      <c r="O582" s="169">
        <f t="shared" ca="1" si="93"/>
        <v>67.416372078349454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5223674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3521611.5</v>
      </c>
      <c r="O584" s="169">
        <f t="shared" ca="1" si="93"/>
        <v>67.416372078349454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1257629.23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2263982.27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2474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3181</v>
      </c>
      <c r="K589" s="163">
        <f t="shared" ref="K589:K596" ca="1" si="94">IF(I589&gt;0,J589*100/I589,0)</f>
        <v>128.57720291026678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2017.6600000000003</v>
      </c>
      <c r="K590" s="480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2474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4594</v>
      </c>
      <c r="K591" s="163">
        <f t="shared" ca="1" si="94"/>
        <v>185.69118835893289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2759.96</v>
      </c>
      <c r="K592" s="343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2474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1023</v>
      </c>
      <c r="K593" s="163">
        <f t="shared" ca="1" si="94"/>
        <v>41.350040420371869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634.51</v>
      </c>
      <c r="K594" s="343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2474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746</v>
      </c>
      <c r="K595" s="163">
        <f t="shared" ca="1" si="94"/>
        <v>30.1535974130962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418.89000000000004</v>
      </c>
      <c r="K596" s="487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8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36</v>
      </c>
      <c r="K597" s="411">
        <f ca="1">IF(I597&gt;0,J597*100/I597,0)</f>
        <v>1.5859030837004404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81079</v>
      </c>
      <c r="O597" s="412">
        <f t="shared" ref="O597:O601" ca="1" si="95">+IF(L597&gt;0,N597*100/L597,0)</f>
        <v>36.317581187010077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81079</v>
      </c>
      <c r="O599" s="169">
        <f t="shared" ca="1" si="95"/>
        <v>36.317581187010077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81079</v>
      </c>
      <c r="O601" s="169">
        <f t="shared" ca="1" si="95"/>
        <v>36.317581187010077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81079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36</v>
      </c>
      <c r="K611" s="163">
        <f t="shared" ref="K611:K619" ca="1" si="96">IF(I$611&gt;0,J611*100/I$611,0)</f>
        <v>1.5859030837004404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1481.22</v>
      </c>
      <c r="K612" s="163">
        <f t="shared" ca="1" si="96"/>
        <v>65.25198237885462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1313.22</v>
      </c>
      <c r="K613" s="163">
        <f t="shared" ca="1" si="96"/>
        <v>57.851101321585901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1404.22</v>
      </c>
      <c r="K614" s="163">
        <f t="shared" ca="1" si="96"/>
        <v>61.859911894273125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692.22</v>
      </c>
      <c r="K615" s="163">
        <f t="shared" ca="1" si="96"/>
        <v>30.494273127753303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184</v>
      </c>
      <c r="K616" s="163">
        <f t="shared" ca="1" si="96"/>
        <v>8.1057268722466969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36</v>
      </c>
      <c r="K617" s="163">
        <f t="shared" ca="1" si="96"/>
        <v>1.5859030837004404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36</v>
      </c>
      <c r="K619" s="163">
        <f t="shared" ca="1" si="96"/>
        <v>1.5859030837004404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112442446.68999998</v>
      </c>
      <c r="K628" s="343">
        <f t="shared" ref="K628:K635" ca="1" si="98">IF(I628&gt;0,J628*100/I628,0)</f>
        <v>89.039589513383802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7131</v>
      </c>
      <c r="K629" s="343">
        <f t="shared" ca="1" si="98"/>
        <v>83.589262689016522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32756077.810000002</v>
      </c>
      <c r="K630" s="343">
        <f t="shared" ca="1" si="98"/>
        <v>18.704855589797262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4163</v>
      </c>
      <c r="K631" s="343">
        <f t="shared" ca="1" si="98"/>
        <v>51.547795938583455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6728398.7400000012</v>
      </c>
      <c r="K632" s="343">
        <f t="shared" ca="1" si="98"/>
        <v>62.591934444274401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1051</v>
      </c>
      <c r="K633" s="343">
        <f t="shared" ca="1" si="98"/>
        <v>111.21693121693121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152110000</v>
      </c>
      <c r="J634" s="34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132754000</v>
      </c>
      <c r="K634" s="343">
        <f t="shared" ca="1" si="98"/>
        <v>87.274998356452571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3864</v>
      </c>
      <c r="J635" s="505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3322</v>
      </c>
      <c r="K635" s="487">
        <f t="shared" ca="1" si="98"/>
        <v>85.973084886128362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136890</v>
      </c>
      <c r="M636" s="511"/>
      <c r="N636" s="510">
        <f ca="1">SUM(N637:N638)</f>
        <v>4365</v>
      </c>
      <c r="O636" s="510">
        <f t="shared" ref="O636:O640" ca="1" si="99">+IF(L636&gt;0,N636*100/L636,0)</f>
        <v>3.1886916502301119</v>
      </c>
      <c r="P636" s="51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9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136890</v>
      </c>
      <c r="M638" s="521"/>
      <c r="N638" s="522">
        <f ca="1">SUM(N639:N640)</f>
        <v>4365</v>
      </c>
      <c r="O638" s="522">
        <f t="shared" ca="1" si="99"/>
        <v>3.1886916502301119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9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136890</v>
      </c>
      <c r="M640" s="521"/>
      <c r="N640" s="522">
        <f ca="1">SUM(N641:N644)</f>
        <v>4365</v>
      </c>
      <c r="O640" s="522">
        <f t="shared" ca="1" si="99"/>
        <v>3.1886916502301119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4365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9"/>
      <c r="L646" s="521"/>
      <c r="M646" s="521"/>
      <c r="N646" s="531"/>
      <c r="O646" s="519"/>
      <c r="P646" s="51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3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4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0</v>
      </c>
      <c r="K648" s="535">
        <f t="shared" ref="K648:K651" ca="1" si="100">IF(I648&gt;0,J648*100/I648,0)</f>
        <v>0</v>
      </c>
      <c r="L648" s="522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1"/>
      <c r="N648" s="536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0</v>
      </c>
      <c r="O648" s="535">
        <f t="shared" ref="O648:O651" ca="1" si="101">IF(L648&gt;0,N648*100/L648,0)</f>
        <v>0</v>
      </c>
      <c r="P648" s="535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4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3</v>
      </c>
      <c r="K649" s="535">
        <f t="shared" ca="1" si="100"/>
        <v>2.7777777777777777</v>
      </c>
      <c r="L649" s="522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1"/>
      <c r="N649" s="536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2680</v>
      </c>
      <c r="O649" s="535">
        <f t="shared" ca="1" si="101"/>
        <v>20.679012345679013</v>
      </c>
      <c r="P649" s="535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4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0</v>
      </c>
      <c r="K650" s="535">
        <f t="shared" ca="1" si="100"/>
        <v>0</v>
      </c>
      <c r="L650" s="522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1"/>
      <c r="N650" s="536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1120</v>
      </c>
      <c r="O650" s="535">
        <f t="shared" ca="1" si="101"/>
        <v>933.33333333333337</v>
      </c>
      <c r="P650" s="535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4">
        <f ca="1">J657+J660</f>
        <v>56</v>
      </c>
      <c r="K651" s="535">
        <f t="shared" ca="1" si="100"/>
        <v>9.8245614035087723</v>
      </c>
      <c r="L651" s="522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1"/>
      <c r="N651" s="536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565</v>
      </c>
      <c r="O651" s="535">
        <f t="shared" ca="1" si="101"/>
        <v>3.9649122807017543</v>
      </c>
      <c r="P651" s="535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3</v>
      </c>
      <c r="K652" s="535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56</v>
      </c>
      <c r="K653" s="535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0</v>
      </c>
      <c r="K655" s="535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10</v>
      </c>
      <c r="K656" s="535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56</v>
      </c>
      <c r="K657" s="535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0</v>
      </c>
      <c r="K658" s="535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0</v>
      </c>
      <c r="K659" s="535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0</v>
      </c>
      <c r="K660" s="535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5"/>
      <c r="L661" s="522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1"/>
      <c r="N661" s="536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5">
        <f ca="1">IF(L661&gt;0,N661*100/L661,0)</f>
        <v>0</v>
      </c>
      <c r="P661" s="535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5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4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5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4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0</v>
      </c>
      <c r="K665" s="535">
        <f ca="1">IF(I665&gt;0,J665*100/I665,0)</f>
        <v>0</v>
      </c>
      <c r="L665" s="522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1"/>
      <c r="N665" s="536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0</v>
      </c>
      <c r="O665" s="535">
        <f ca="1">IF(L665&gt;0,N665*100/L665,0)</f>
        <v>0</v>
      </c>
      <c r="P665" s="535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0</v>
      </c>
      <c r="K666" s="535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0</v>
      </c>
      <c r="K667" s="535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4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5">
        <f ca="1">IF(I668&gt;0,J668*100/I668,0)</f>
        <v>0</v>
      </c>
      <c r="L668" s="522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1"/>
      <c r="N668" s="536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5">
        <f ca="1">IF(L668&gt;0,N668*100/L668,0)</f>
        <v>0</v>
      </c>
      <c r="P668" s="535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5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5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4">
        <f ca="1">J674+J677</f>
        <v>0</v>
      </c>
      <c r="K671" s="535">
        <f ca="1">IF(I671&gt;0,J671*100/I671,0)</f>
        <v>0</v>
      </c>
      <c r="L671" s="522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1"/>
      <c r="N671" s="536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5">
        <f ca="1">IF(L671&gt;0,N671*100/L671,0)</f>
        <v>0</v>
      </c>
      <c r="P671" s="535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0</v>
      </c>
      <c r="K672" s="535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0</v>
      </c>
      <c r="K673" s="535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0</v>
      </c>
      <c r="K674" s="535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0</v>
      </c>
      <c r="K675" s="535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0</v>
      </c>
      <c r="K676" s="535"/>
      <c r="L676" s="521"/>
      <c r="M676" s="521"/>
      <c r="N676" s="521"/>
      <c r="O676" s="519"/>
      <c r="P676" s="51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0</v>
      </c>
      <c r="K677" s="546"/>
      <c r="L677" s="547"/>
      <c r="M677" s="547"/>
      <c r="N677" s="547"/>
      <c r="O677" s="546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6070183</v>
      </c>
      <c r="M8" s="23">
        <f t="shared" ca="1" si="0"/>
        <v>3589562</v>
      </c>
      <c r="N8" s="23">
        <f t="shared" ca="1" si="0"/>
        <v>5274262.46</v>
      </c>
      <c r="O8" s="22">
        <f t="shared" ref="O8:O16" ca="1" si="1">IF(L8&gt;0,N8*100/L8,0)</f>
        <v>86.888030558551534</v>
      </c>
      <c r="P8" s="22">
        <f t="shared" ref="P8:P16" ca="1" si="2">IF(M8&gt;0,N8*100/M8,0)</f>
        <v>146.93331554100473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6070183</v>
      </c>
      <c r="M10" s="30">
        <f t="shared" ca="1" si="4"/>
        <v>3589562</v>
      </c>
      <c r="N10" s="30">
        <f t="shared" ca="1" si="4"/>
        <v>5274262.46</v>
      </c>
      <c r="O10" s="29">
        <f t="shared" ca="1" si="1"/>
        <v>86.888030558551534</v>
      </c>
      <c r="P10" s="29">
        <f t="shared" ca="1" si="2"/>
        <v>146.93331554100473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5716283</v>
      </c>
      <c r="M12" s="38">
        <f t="shared" ca="1" si="6"/>
        <v>3255662</v>
      </c>
      <c r="N12" s="38">
        <f t="shared" ca="1" si="6"/>
        <v>4928362.46</v>
      </c>
      <c r="O12" s="38">
        <f t="shared" ca="1" si="1"/>
        <v>86.216208329783527</v>
      </c>
      <c r="P12" s="38">
        <f t="shared" ca="1" si="2"/>
        <v>151.37819773674295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3899583</v>
      </c>
      <c r="M14" s="38">
        <f t="shared" si="8"/>
        <v>0</v>
      </c>
      <c r="N14" s="38">
        <f t="shared" ca="1" si="8"/>
        <v>2161346.2999999998</v>
      </c>
      <c r="O14" s="38">
        <f t="shared" ca="1" si="1"/>
        <v>55.425062115615944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353900</v>
      </c>
      <c r="M16" s="38">
        <f t="shared" ca="1" si="10"/>
        <v>333900</v>
      </c>
      <c r="N16" s="38">
        <f t="shared" ca="1" si="10"/>
        <v>345900</v>
      </c>
      <c r="O16" s="49">
        <f t="shared" ca="1" si="1"/>
        <v>97.739474427804467</v>
      </c>
      <c r="P16" s="49">
        <f t="shared" ca="1" si="2"/>
        <v>103.59389038634322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3535405</v>
      </c>
      <c r="M18" s="23">
        <f t="shared" ca="1" si="11"/>
        <v>3589562</v>
      </c>
      <c r="N18" s="23">
        <f t="shared" ca="1" si="11"/>
        <v>3112916.16</v>
      </c>
      <c r="O18" s="22">
        <f t="shared" ref="O18:O20" ca="1" si="12">IF(L18&gt;0,N18*100/L18,0)</f>
        <v>88.049775343984635</v>
      </c>
      <c r="P18" s="22">
        <f t="shared" ref="P18:P26" ca="1" si="13">IF(M18&gt;0,N18*100/M18,0)</f>
        <v>86.721337032206151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3535405</v>
      </c>
      <c r="M20" s="30">
        <f t="shared" ca="1" si="15"/>
        <v>3589562</v>
      </c>
      <c r="N20" s="30">
        <f t="shared" ca="1" si="15"/>
        <v>3112916.16</v>
      </c>
      <c r="O20" s="29">
        <f t="shared" ca="1" si="12"/>
        <v>88.049775343984635</v>
      </c>
      <c r="P20" s="29">
        <f t="shared" ca="1" si="13"/>
        <v>86.721337032206151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3255662</v>
      </c>
      <c r="N22" s="38">
        <f t="shared" ca="1" si="18"/>
        <v>2767016.16</v>
      </c>
      <c r="O22" s="38">
        <f t="shared" ca="1" si="17"/>
        <v>86.971925550957806</v>
      </c>
      <c r="P22" s="38">
        <f t="shared" ca="1" si="13"/>
        <v>84.990891560610407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353900</v>
      </c>
      <c r="M26" s="49">
        <f t="shared" ca="1" si="22"/>
        <v>333900</v>
      </c>
      <c r="N26" s="49">
        <f t="shared" ca="1" si="22"/>
        <v>345900</v>
      </c>
      <c r="O26" s="49">
        <f t="shared" ca="1" si="17"/>
        <v>97.739474427804467</v>
      </c>
      <c r="P26" s="49">
        <f t="shared" ca="1" si="13"/>
        <v>103.59389038634322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2534778</v>
      </c>
      <c r="M28" s="23">
        <f t="shared" si="23"/>
        <v>0</v>
      </c>
      <c r="N28" s="23">
        <f t="shared" ca="1" si="23"/>
        <v>2161346.2999999998</v>
      </c>
      <c r="O28" s="22">
        <f t="shared" ref="O28:O30" ca="1" si="24">IF(L28&gt;0,N28*100/L28,0)</f>
        <v>85.267676301435458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2534778</v>
      </c>
      <c r="M30" s="30">
        <f t="shared" si="27"/>
        <v>0</v>
      </c>
      <c r="N30" s="30">
        <f t="shared" ca="1" si="27"/>
        <v>2161346.2999999998</v>
      </c>
      <c r="O30" s="29">
        <f t="shared" ca="1" si="24"/>
        <v>85.267676301435458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2534778</v>
      </c>
      <c r="M32" s="38">
        <f t="shared" si="30"/>
        <v>0</v>
      </c>
      <c r="N32" s="38">
        <f t="shared" ca="1" si="30"/>
        <v>2161346.2999999998</v>
      </c>
      <c r="O32" s="38">
        <f t="shared" ca="1" si="29"/>
        <v>85.267676301435458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2534778</v>
      </c>
      <c r="M34" s="38">
        <f t="shared" si="32"/>
        <v>0</v>
      </c>
      <c r="N34" s="38">
        <f t="shared" ca="1" si="32"/>
        <v>2161346.2999999998</v>
      </c>
      <c r="O34" s="38">
        <f t="shared" ca="1" si="29"/>
        <v>85.267676301435458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3535405</v>
      </c>
      <c r="M37" s="54">
        <f t="shared" ca="1" si="33"/>
        <v>3589562</v>
      </c>
      <c r="N37" s="54">
        <f t="shared" ca="1" si="33"/>
        <v>3112916.16</v>
      </c>
      <c r="O37" s="55">
        <f t="shared" ca="1" si="29"/>
        <v>88.049775343984635</v>
      </c>
      <c r="P37" s="55">
        <f t="shared" ca="1" si="25"/>
        <v>86.721337032206151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714100</v>
      </c>
      <c r="M41" s="78">
        <f t="shared" ca="1" si="34"/>
        <v>694100</v>
      </c>
      <c r="N41" s="78">
        <f t="shared" ca="1" si="34"/>
        <v>603699.01</v>
      </c>
      <c r="O41" s="77">
        <f t="shared" ref="O41:O43" ca="1" si="35">IF(L41&gt;0,N41*100/L41,0)</f>
        <v>84.539841758857307</v>
      </c>
      <c r="P41" s="77">
        <f t="shared" ref="P41:P43" ca="1" si="36">IF(M41&gt;0,N41*100/M41,0)</f>
        <v>86.975797435528023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714100</v>
      </c>
      <c r="M43" s="78">
        <f t="shared" ca="1" si="38"/>
        <v>694100</v>
      </c>
      <c r="N43" s="78">
        <f t="shared" ca="1" si="38"/>
        <v>603699.01</v>
      </c>
      <c r="O43" s="77">
        <f t="shared" ca="1" si="35"/>
        <v>84.539841758857307</v>
      </c>
      <c r="P43" s="77">
        <f t="shared" ca="1" si="36"/>
        <v>86.975797435528023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623">
        <f ca="1">IFERROR(__xludf.DUMMYFUNCTION("IMPORTRANGE(""https://docs.google.com/spreadsheets/d/1Yj_ptqi66GCucihVvJfMjLAmec39IyEx_6qawtMGysU/edit?usp=sharing"",""สบก!Q46"")"),694100)</f>
        <v>694100</v>
      </c>
      <c r="N45" s="623">
        <f ca="1">IFERROR(__xludf.DUMMYFUNCTION("IMPORTRANGE(""https://docs.google.com/spreadsheets/d/1Yj_ptqi66GCucihVvJfMjLAmec39IyEx_6qawtMGysU/edit?usp=sharing"",""สบก!R46"")"),583699.01)</f>
        <v>583699.01</v>
      </c>
      <c r="O45" s="624">
        <f ca="1">IF(L45&gt;0,N45*100/L45,0)</f>
        <v>84.094368246650333</v>
      </c>
      <c r="P45" s="624">
        <f ca="1">IF(M45&gt;0,N45*100/M45,0)</f>
        <v>84.094368246650333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IFERROR(__xludf.DUMMYFUNCTION("IMPORTRANGE(""https://docs.google.com/spreadsheets/d/1Yj_ptqi66GCucihVvJfMjLAmec39IyEx_6qawtMGysU/edit?usp=sharing"",""สบก!M46"")"),694100)</f>
        <v>694100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IFERROR(__xludf.DUMMYFUNCTION("IMPORTRANGE(""https://docs.google.com/spreadsheets/d/1Yj_ptqi66GCucihVvJfMjLAmec39IyEx_6qawtMGysU/edit?usp=sharing"",""สบก!O46"")"),20000)</f>
        <v>20000</v>
      </c>
      <c r="M49" s="626"/>
      <c r="N49" s="623">
        <f ca="1">IFERROR(__xludf.DUMMYFUNCTION("IMPORTRANGE(""https://docs.google.com/spreadsheets/d/1Yj_ptqi66GCucihVvJfMjLAmec39IyEx_6qawtMGysU/edit?usp=sharing"",""สบก!S46"")"),20000)</f>
        <v>20000</v>
      </c>
      <c r="O49" s="626">
        <f ca="1">IF(L49&gt;0,N49*100/L49,0)</f>
        <v>100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439997</v>
      </c>
      <c r="N53" s="121">
        <f t="shared" ca="1" si="39"/>
        <v>397007</v>
      </c>
      <c r="O53" s="120">
        <f t="shared" ref="O53:O55" ca="1" si="40">IF(L53&gt;0,N53*100/L53,0)</f>
        <v>80.889771801140995</v>
      </c>
      <c r="P53" s="120">
        <f t="shared" ref="P53:P55" ca="1" si="41">IF(M53&gt;0,N53*100/M53,0)</f>
        <v>90.229478837355714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439997</v>
      </c>
      <c r="N55" s="121">
        <f t="shared" ca="1" si="43"/>
        <v>397007</v>
      </c>
      <c r="O55" s="120">
        <f t="shared" ca="1" si="40"/>
        <v>80.889771801140995</v>
      </c>
      <c r="P55" s="120">
        <f t="shared" ca="1" si="41"/>
        <v>90.229478837355714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623">
        <f ca="1">IFERROR(__xludf.DUMMYFUNCTION("IMPORTRANGE(""https://docs.google.com/spreadsheets/d/1Yj_ptqi66GCucihVvJfMjLAmec39IyEx_6qawtMGysU/edit?usp=sharing"",""สบก!Z46"")"),439997)</f>
        <v>439997</v>
      </c>
      <c r="N57" s="623">
        <f ca="1">IFERROR(__xludf.DUMMYFUNCTION("IMPORTRANGE(""https://docs.google.com/spreadsheets/d/1Yj_ptqi66GCucihVvJfMjLAmec39IyEx_6qawtMGysU/edit?usp=sharing"",""สบก!AA46"")"),397007)</f>
        <v>397007</v>
      </c>
      <c r="O57" s="624">
        <f ca="1">IF(L57&gt;0,N57*100/L57,0)</f>
        <v>80.889771801140995</v>
      </c>
      <c r="P57" s="624">
        <f ca="1">IF(M57&gt;0,N57*100/M57,0)</f>
        <v>90.229478837355714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IFERROR(__xludf.DUMMYFUNCTION("IMPORTRANGE(""https://docs.google.com/spreadsheets/d/1Yj_ptqi66GCucihVvJfMjLAmec39IyEx_6qawtMGysU/edit?usp=sharing"",""สบก!V46"")"),490800)</f>
        <v>490800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IFERROR(__xludf.DUMMYFUNCTION("IMPORTRANGE(""https://docs.google.com/spreadsheets/d/1Yj_ptqi66GCucihVvJfMjLAmec39IyEx_6qawtMGysU/edit?usp=sharing"",""สบก!X46"")"),0)</f>
        <v>0</v>
      </c>
      <c r="M61" s="626"/>
      <c r="N61" s="623">
        <f ca="1">IFERROR(__xludf.DUMMYFUNCTION("IMPORTRANGE(""https://docs.google.com/spreadsheets/d/1Yj_ptqi66GCucihVvJfMjLAmec39IyEx_6qawtMGysU/edit?usp=sharing"",""สบก!AB46"")"),0)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970300</v>
      </c>
      <c r="M66" s="152">
        <f t="shared" ca="1" si="45"/>
        <v>982800</v>
      </c>
      <c r="N66" s="152">
        <f t="shared" ca="1" si="45"/>
        <v>882439.65</v>
      </c>
      <c r="O66" s="151">
        <f t="shared" ref="O66:O68" ca="1" si="46">IF(L66&gt;0,N66*100/L66,0)</f>
        <v>90.94503246418634</v>
      </c>
      <c r="P66" s="151">
        <f t="shared" ref="P66:P68" ca="1" si="47">IF(M66&gt;0,N66*100/M66,0)</f>
        <v>89.788324175824172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970300</v>
      </c>
      <c r="M68" s="157">
        <f t="shared" ca="1" si="49"/>
        <v>982800</v>
      </c>
      <c r="N68" s="157">
        <f t="shared" ca="1" si="49"/>
        <v>882439.65</v>
      </c>
      <c r="O68" s="156">
        <f t="shared" ca="1" si="46"/>
        <v>90.94503246418634</v>
      </c>
      <c r="P68" s="156">
        <f t="shared" ca="1" si="47"/>
        <v>89.788324175824172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875800</v>
      </c>
      <c r="M70" s="627">
        <f ca="1">IFERROR(__xludf.DUMMYFUNCTION("IMPORTRANGE(""https://docs.google.com/spreadsheets/d/1Yj_ptqi66GCucihVvJfMjLAmec39IyEx_6qawtMGysU/edit?usp=sharing"",""สบก!AI46"")"),888300)</f>
        <v>888300</v>
      </c>
      <c r="N70" s="628">
        <f ca="1">IFERROR(__xludf.DUMMYFUNCTION("IMPORTRANGE(""https://docs.google.com/spreadsheets/d/1Yj_ptqi66GCucihVvJfMjLAmec39IyEx_6qawtMGysU/edit?usp=sharing"",""สบก!AJ46"")"),787939.65)</f>
        <v>787939.65</v>
      </c>
      <c r="O70" s="169">
        <f ca="1">IF(L70&gt;0,N70*100/L70,0)</f>
        <v>89.967989266955925</v>
      </c>
      <c r="P70" s="169">
        <f ca="1">IF(M70&gt;0,N70*100/M70,0)</f>
        <v>88.701975683890581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IFERROR(__xludf.DUMMYFUNCTION("IMPORTRANGE(""https://docs.google.com/spreadsheets/d/1Yj_ptqi66GCucihVvJfMjLAmec39IyEx_6qawtMGysU/edit?usp=sharing"",""สบก!AF46"")"),682000)</f>
        <v>682000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IFERROR(__xludf.DUMMYFUNCTION("IMPORTRANGE(""https://docs.google.com/spreadsheets/d/1Yj_ptqi66GCucihVvJfMjLAmec39IyEx_6qawtMGysU/edit?usp=sharing"",""สบก!AG46"")"),94500)</f>
        <v>94500</v>
      </c>
      <c r="M74" s="626">
        <f ca="1">L74</f>
        <v>94500</v>
      </c>
      <c r="N74" s="623">
        <f ca="1">IFERROR(__xludf.DUMMYFUNCTION("IMPORTRANGE(""https://docs.google.com/spreadsheets/d/1Yj_ptqi66GCucihVvJfMjLAmec39IyEx_6qawtMGysU/edit?usp=sharing"",""สบก!AK46"")"),94500)</f>
        <v>94500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IFERROR(__xludf.DUMMYFUNCTION("IMPORTRANGE(""https://docs.google.com/spreadsheets/d/1XL5vhW3sbDhbH9Cz0tuDiY8C3ctxq1tqvaCgkFb8cCA/edit?usp=sharing"",""มุกดาหาร!I28"")"),2)</f>
        <v>2</v>
      </c>
      <c r="J88" s="204">
        <f ca="1">IFERROR(__xludf.DUMMYFUNCTION("IMPORTRANGE(""https://docs.google.com/spreadsheets/d/1XL5vhW3sbDhbH9Cz0tuDiY8C3ctxq1tqvaCgkFb8cCA/edit?usp=sharing"",""มุกดาหาร!J28"")"),2)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188022</v>
      </c>
      <c r="O94" s="151">
        <f t="shared" ref="O94:O96" ca="1" si="53">IF(L94&gt;0,N94*100/L94,0)</f>
        <v>87.655944055944062</v>
      </c>
      <c r="P94" s="151">
        <f t="shared" ref="P94:P96" ca="1" si="54">IF(M94&gt;0,N94*100/M94,0)</f>
        <v>87.655944055944062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188022</v>
      </c>
      <c r="O96" s="156">
        <f t="shared" ca="1" si="53"/>
        <v>87.655944055944062</v>
      </c>
      <c r="P96" s="156">
        <f t="shared" ca="1" si="54"/>
        <v>87.655944055944062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IFERROR(__xludf.DUMMYFUNCTION("IMPORTRANGE(""https://docs.google.com/spreadsheets/d/1Yj_ptqi66GCucihVvJfMjLAmec39IyEx_6qawtMGysU/edit?usp=sharing"",""สบก!AR46"")"),122100)</f>
        <v>122100</v>
      </c>
      <c r="N98" s="628">
        <f ca="1">IFERROR(__xludf.DUMMYFUNCTION("IMPORTRANGE(""https://docs.google.com/spreadsheets/d/1Yj_ptqi66GCucihVvJfMjLAmec39IyEx_6qawtMGysU/edit?usp=sharing"",""สบก!AS46"")"),95622)</f>
        <v>95622</v>
      </c>
      <c r="O98" s="169">
        <f ca="1">IF(L98&gt;0,N98*100/L98,0)</f>
        <v>78.31449631449631</v>
      </c>
      <c r="P98" s="169">
        <f ca="1">IF(M98&gt;0,N98*100/M98,0)</f>
        <v>78.31449631449631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IFERROR(__xludf.DUMMYFUNCTION("IMPORTRANGE(""https://docs.google.com/spreadsheets/d/1Yj_ptqi66GCucihVvJfMjLAmec39IyEx_6qawtMGysU/edit?usp=sharing"",""สบก!AP46"")"),92400)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IFERROR(__xludf.DUMMYFUNCTION("IMPORTRANGE(""https://docs.google.com/spreadsheets/d/1Yj_ptqi66GCucihVvJfMjLAmec39IyEx_6qawtMGysU/edit?usp=sharing"",""สบก!AT46"")"),92400)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IFERROR(__xludf.DUMMYFUNCTION("IMPORTRANGE(""https://docs.google.com/spreadsheets/d/1XL5vhW3sbDhbH9Cz0tuDiY8C3ctxq1tqvaCgkFb8cCA/edit?usp=sharing"",""มุกดาหาร!J50"")"),0)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IFERROR(__xludf.DUMMYFUNCTION("IMPORTRANGE(""https://docs.google.com/spreadsheets/d/1Yj_ptqi66GCucihVvJfMjLAmec39IyEx_6qawtMGysU/edit?usp=sharing"",""สบก!BA46"")"),0)</f>
        <v>0</v>
      </c>
      <c r="N122" s="628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IFERROR(__xludf.DUMMYFUNCTION("IMPORTRANGE(""https://docs.google.com/spreadsheets/d/1Yj_ptqi66GCucihVvJfMjLAmec39IyEx_6qawtMGysU/edit?usp=sharing"",""สบก!AY46"")"),0)</f>
        <v>0</v>
      </c>
      <c r="M126" s="626"/>
      <c r="N126" s="623">
        <f ca="1">IFERROR(__xludf.DUMMYFUNCTION("IMPORTRANGE(""https://docs.google.com/spreadsheets/d/1Yj_ptqi66GCucihVvJfMjLAmec39IyEx_6qawtMGysU/edit?usp=sharing"",""สบก!BC46"")"),0)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227500</v>
      </c>
      <c r="M140" s="152">
        <f t="shared" ca="1" si="64"/>
        <v>235500</v>
      </c>
      <c r="N140" s="152">
        <f t="shared" ca="1" si="64"/>
        <v>165100</v>
      </c>
      <c r="O140" s="151">
        <f t="shared" ref="O140:O142" ca="1" si="65">IF(L140&gt;0,N140*100/L140,0)</f>
        <v>72.571428571428569</v>
      </c>
      <c r="P140" s="151">
        <f t="shared" ref="P140:P142" ca="1" si="66">IF(M140&gt;0,N140*100/M140,0)</f>
        <v>70.106157112526546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227500</v>
      </c>
      <c r="M142" s="157">
        <f t="shared" ca="1" si="68"/>
        <v>235500</v>
      </c>
      <c r="N142" s="157">
        <f t="shared" ca="1" si="68"/>
        <v>165100</v>
      </c>
      <c r="O142" s="156">
        <f t="shared" ca="1" si="65"/>
        <v>72.571428571428569</v>
      </c>
      <c r="P142" s="156">
        <f t="shared" ca="1" si="66"/>
        <v>70.106157112526546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227500</v>
      </c>
      <c r="M144" s="627">
        <f ca="1">IFERROR(__xludf.DUMMYFUNCTION("IMPORTRANGE(""https://docs.google.com/spreadsheets/d/1Yj_ptqi66GCucihVvJfMjLAmec39IyEx_6qawtMGysU/edit?usp=sharing"",""สบก!BJ46"")"),235500)</f>
        <v>235500</v>
      </c>
      <c r="N144" s="628">
        <f ca="1">IFERROR(__xludf.DUMMYFUNCTION("IMPORTRANGE(""https://docs.google.com/spreadsheets/d/1Yj_ptqi66GCucihVvJfMjLAmec39IyEx_6qawtMGysU/edit?usp=sharing"",""สบก!BK46"")"),165100)</f>
        <v>165100</v>
      </c>
      <c r="O144" s="169">
        <f ca="1">IF(L144&gt;0,N144*100/L144,0)</f>
        <v>72.571428571428569</v>
      </c>
      <c r="P144" s="169">
        <f ca="1">IF(M144&gt;0,N144*100/M144,0)</f>
        <v>70.106157112526546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IFERROR(__xludf.DUMMYFUNCTION("IMPORTRANGE(""https://docs.google.com/spreadsheets/d/1Yj_ptqi66GCucihVvJfMjLAmec39IyEx_6qawtMGysU/edit?usp=sharing"",""สบก!BG46"")"),95500)</f>
        <v>95500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IFERROR(__xludf.DUMMYFUNCTION("IMPORTRANGE(""https://docs.google.com/spreadsheets/d/1Yj_ptqi66GCucihVvJfMjLAmec39IyEx_6qawtMGysU/edit?usp=sharing"",""สบก!BH46"")"),0)</f>
        <v>0</v>
      </c>
      <c r="M148" s="626"/>
      <c r="N148" s="623">
        <f ca="1">IFERROR(__xludf.DUMMYFUNCTION("IMPORTRANGE(""https://docs.google.com/spreadsheets/d/1Yj_ptqi66GCucihVvJfMjLAmec39IyEx_6qawtMGysU/edit?usp=sharing"",""สบก!BL46"")"),0)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IFERROR(__xludf.DUMMYFUNCTION("IMPORTRANGE(""https://docs.google.com/spreadsheets/d/1XL5vhW3sbDhbH9Cz0tuDiY8C3ctxq1tqvaCgkFb8cCA/edit?usp=sharing"",""มุกดาหาร!J85"")"),32)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IFERROR(__xludf.DUMMYFUNCTION("IMPORTRANGE(""https://docs.google.com/spreadsheets/d/1XL5vhW3sbDhbH9Cz0tuDiY8C3ctxq1tqvaCgkFb8cCA/edit?usp=sharing"",""มุกดาหาร!I89"")"),3)</f>
        <v>3</v>
      </c>
      <c r="J164" s="285">
        <f ca="1">IFERROR(__xludf.DUMMYFUNCTION("IMPORTRANGE(""https://docs.google.com/spreadsheets/d/1XL5vhW3sbDhbH9Cz0tuDiY8C3ctxq1tqvaCgkFb8cCA/edit?usp=sharing"",""มุกดาหาร!J89"")"),3)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IFERROR(__xludf.DUMMYFUNCTION("IMPORTRANGE(""https://docs.google.com/spreadsheets/d/1XL5vhW3sbDhbH9Cz0tuDiY8C3ctxq1tqvaCgkFb8cCA/edit?usp=sharing"",""มุกดาหาร!I101"")"),1)</f>
        <v>1</v>
      </c>
      <c r="J176" s="285">
        <f ca="1">IFERROR(__xludf.DUMMYFUNCTION("IMPORTRANGE(""https://docs.google.com/spreadsheets/d/1XL5vhW3sbDhbH9Cz0tuDiY8C3ctxq1tqvaCgkFb8cCA/edit?usp=sharing"",""มุกดาหาร!J101"")"),1)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IFERROR(__xludf.DUMMYFUNCTION("IMPORTRANGE(""https://docs.google.com/spreadsheets/d/1XL5vhW3sbDhbH9Cz0tuDiY8C3ctxq1tqvaCgkFb8cCA/edit?usp=sharing"",""มุกดาหาร!I114"")"),40000)</f>
        <v>40000</v>
      </c>
      <c r="J189" s="285">
        <f ca="1">IFERROR(__xludf.DUMMYFUNCTION("IMPORTRANGE(""https://docs.google.com/spreadsheets/d/1XL5vhW3sbDhbH9Cz0tuDiY8C3ctxq1tqvaCgkFb8cCA/edit?usp=sharing"",""มุกดาหาร!J114"")"),0)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IFERROR(__xludf.DUMMYFUNCTION("IMPORTRANGE(""https://docs.google.com/spreadsheets/d/1XL5vhW3sbDhbH9Cz0tuDiY8C3ctxq1tqvaCgkFb8cCA/edit?usp=sharing"",""มุกดาหาร!J128"")"),0)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IFERROR(__xludf.DUMMYFUNCTION("IMPORTRANGE(""https://docs.google.com/spreadsheets/d/1XL5vhW3sbDhbH9Cz0tuDiY8C3ctxq1tqvaCgkFb8cCA/edit?usp=sharing"",""มุกดาหาร!I129"")"),0)</f>
        <v>0</v>
      </c>
      <c r="J204" s="285">
        <f ca="1">IFERROR(__xludf.DUMMYFUNCTION("IMPORTRANGE(""https://docs.google.com/spreadsheets/d/1XL5vhW3sbDhbH9Cz0tuDiY8C3ctxq1tqvaCgkFb8cCA/edit?usp=sharing"",""มุกดาหาร!J129"")"),0)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7">
        <f ca="1">IFERROR(__xludf.DUMMYFUNCTION("IMPORTRANGE(""https://docs.google.com/spreadsheets/d/1Yj_ptqi66GCucihVvJfMjLAmec39IyEx_6qawtMGysU/edit?usp=sharing"",""สบก!BS46"")"),19295)</f>
        <v>19295</v>
      </c>
      <c r="N224" s="628">
        <f ca="1">IFERROR(__xludf.DUMMYFUNCTION("IMPORTRANGE(""https://docs.google.com/spreadsheets/d/1Yj_ptqi66GCucihVvJfMjLAmec39IyEx_6qawtMGysU/edit?usp=sharing"",""สบก!BT46"")"),19295)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IFERROR(__xludf.DUMMYFUNCTION("IMPORTRANGE(""https://docs.google.com/spreadsheets/d/1Yj_ptqi66GCucihVvJfMjLAmec39IyEx_6qawtMGysU/edit?usp=sharing"",""สบก!BQ46"")"),0)</f>
        <v>0</v>
      </c>
      <c r="M228" s="626"/>
      <c r="N228" s="623">
        <f ca="1">IFERROR(__xludf.DUMMYFUNCTION("IMPORTRANGE(""https://docs.google.com/spreadsheets/d/1Yj_ptqi66GCucihVvJfMjLAmec39IyEx_6qawtMGysU/edit?usp=sharing"",""สบก!BU46"")"),0)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IFERROR(__xludf.DUMMYFUNCTION("IMPORTRANGE(""https://docs.google.com/spreadsheets/d/1XL5vhW3sbDhbH9Cz0tuDiY8C3ctxq1tqvaCgkFb8cCA/edit?usp=sharing"",""มุกดาหาร!I169"")"),0)</f>
        <v>0</v>
      </c>
      <c r="J249" s="317">
        <f ca="1">IFERROR(__xludf.DUMMYFUNCTION("IMPORTRANGE(""https://docs.google.com/spreadsheets/d/1XL5vhW3sbDhbH9Cz0tuDiY8C3ctxq1tqvaCgkFb8cCA/edit?usp=sharing"",""มุกดาหาร!J169"")"),0)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IFERROR(__xludf.DUMMYFUNCTION("IMPORTRANGE(""https://docs.google.com/spreadsheets/d/1Yj_ptqi66GCucihVvJfMjLAmec39IyEx_6qawtMGysU/edit?usp=sharing"",""สบก!CB46"")"),0)</f>
        <v>0</v>
      </c>
      <c r="N254" s="628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IFERROR(__xludf.DUMMYFUNCTION("IMPORTRANGE(""https://docs.google.com/spreadsheets/d/1Yj_ptqi66GCucihVvJfMjLAmec39IyEx_6qawtMGysU/edit?usp=sharing"",""สบก!BZ46"")"),0)</f>
        <v>0</v>
      </c>
      <c r="M258" s="626"/>
      <c r="N258" s="623">
        <f ca="1">IFERROR(__xludf.DUMMYFUNCTION("IMPORTRANGE(""https://docs.google.com/spreadsheets/d/1Yj_ptqi66GCucihVvJfMjLAmec39IyEx_6qawtMGysU/edit?usp=sharing"",""สบก!CD46"")"),0)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IFERROR(__xludf.DUMMYFUNCTION("IMPORTRANGE(""https://docs.google.com/spreadsheets/d/1XL5vhW3sbDhbH9Cz0tuDiY8C3ctxq1tqvaCgkFb8cCA/edit?usp=sharing"",""มุกดาหาร!J184"")"),0)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IFERROR(__xludf.DUMMYFUNCTION("IMPORTRANGE(""https://docs.google.com/spreadsheets/d/1XL5vhW3sbDhbH9Cz0tuDiY8C3ctxq1tqvaCgkFb8cCA/edit?usp=sharing"",""มุกดาหาร!I185"")"),15)</f>
        <v>15</v>
      </c>
      <c r="J270" s="317">
        <f ca="1">IFERROR(__xludf.DUMMYFUNCTION("IMPORTRANGE(""https://docs.google.com/spreadsheets/d/1XL5vhW3sbDhbH9Cz0tuDiY8C3ctxq1tqvaCgkFb8cCA/edit?usp=sharing"",""มุกดาหาร!J185"")"),15)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IFERROR(__xludf.DUMMYFUNCTION("IMPORTRANGE(""https://docs.google.com/spreadsheets/d/1Yj_ptqi66GCucihVvJfMjLAmec39IyEx_6qawtMGysU/edit?usp=sharing"",""สบก!CK46"")"),55200)</f>
        <v>55200</v>
      </c>
      <c r="N275" s="628">
        <f ca="1">IFERROR(__xludf.DUMMYFUNCTION("IMPORTRANGE(""https://docs.google.com/spreadsheets/d/1Yj_ptqi66GCucihVvJfMjLAmec39IyEx_6qawtMGysU/edit?usp=sharing"",""สบก!CL46"")"),55200)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IFERROR(__xludf.DUMMYFUNCTION("IMPORTRANGE(""https://docs.google.com/spreadsheets/d/1Yj_ptqi66GCucihVvJfMjLAmec39IyEx_6qawtMGysU/edit?usp=sharing"",""สบก!CI46"")"),0)</f>
        <v>0</v>
      </c>
      <c r="M279" s="626"/>
      <c r="N279" s="623">
        <f ca="1">IFERROR(__xludf.DUMMYFUNCTION("IMPORTRANGE(""https://docs.google.com/spreadsheets/d/1Yj_ptqi66GCucihVvJfMjLAmec39IyEx_6qawtMGysU/edit?usp=sharing"",""สบก!CM46"")"),0)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IFERROR(__xludf.DUMMYFUNCTION("IMPORTRANGE(""https://docs.google.com/spreadsheets/d/1XL5vhW3sbDhbH9Cz0tuDiY8C3ctxq1tqvaCgkFb8cCA/edit?usp=sharing"",""มุกดาหาร!J197"")"),0)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IFERROR(__xludf.DUMMYFUNCTION("IMPORTRANGE(""https://docs.google.com/spreadsheets/d/1XL5vhW3sbDhbH9Cz0tuDiY8C3ctxq1tqvaCgkFb8cCA/edit?usp=sharing"",""มุกดาหาร!I199"")"),0)</f>
        <v>0</v>
      </c>
      <c r="J289" s="317">
        <f ca="1">IFERROR(__xludf.DUMMYFUNCTION("IMPORTRANGE(""https://docs.google.com/spreadsheets/d/1XL5vhW3sbDhbH9Cz0tuDiY8C3ctxq1tqvaCgkFb8cCA/edit?usp=sharing"",""มุกดาหาร!J199"")"),0)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IFERROR(__xludf.DUMMYFUNCTION("IMPORTRANGE(""https://docs.google.com/spreadsheets/d/1Yj_ptqi66GCucihVvJfMjLAmec39IyEx_6qawtMGysU/edit?usp=sharing"",""สบก!CT46"")"),0)</f>
        <v>0</v>
      </c>
      <c r="N294" s="628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IFERROR(__xludf.DUMMYFUNCTION("IMPORTRANGE(""https://docs.google.com/spreadsheets/d/1Yj_ptqi66GCucihVvJfMjLAmec39IyEx_6qawtMGysU/edit?usp=sharing"",""สบก!CR46"")"),0)</f>
        <v>0</v>
      </c>
      <c r="M298" s="626"/>
      <c r="N298" s="623">
        <f ca="1">IFERROR(__xludf.DUMMYFUNCTION("IMPORTRANGE(""https://docs.google.com/spreadsheets/d/1Yj_ptqi66GCucihVvJfMjLAmec39IyEx_6qawtMGysU/edit?usp=sharing"",""สบก!CV46"")"),0)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IFERROR(__xludf.DUMMYFUNCTION("IMPORTRANGE(""https://docs.google.com/spreadsheets/d/1XL5vhW3sbDhbH9Cz0tuDiY8C3ctxq1tqvaCgkFb8cCA/edit?usp=sharing"",""มุกดาหาร!I214"")"),0)</f>
        <v>0</v>
      </c>
      <c r="J309" s="334">
        <f ca="1">IFERROR(__xludf.DUMMYFUNCTION("IMPORTRANGE(""https://docs.google.com/spreadsheets/d/1XL5vhW3sbDhbH9Cz0tuDiY8C3ctxq1tqvaCgkFb8cCA/edit?usp=sharing"",""มุกดาหาร!J214"")"),0)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IFERROR(__xludf.DUMMYFUNCTION("IMPORTRANGE(""https://docs.google.com/spreadsheets/d/1Yj_ptqi66GCucihVvJfMjLAmec39IyEx_6qawtMGysU/edit?usp=sharing"",""สบก!DC46"")"),0)</f>
        <v>0</v>
      </c>
      <c r="N314" s="628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IFERROR(__xludf.DUMMYFUNCTION("IMPORTRANGE(""https://docs.google.com/spreadsheets/d/1Yj_ptqi66GCucihVvJfMjLAmec39IyEx_6qawtMGysU/edit?usp=sharing"",""สบก!DA46"")"),0)</f>
        <v>0</v>
      </c>
      <c r="M318" s="626"/>
      <c r="N318" s="623">
        <f ca="1">IFERROR(__xludf.DUMMYFUNCTION("IMPORTRANGE(""https://docs.google.com/spreadsheets/d/1Yj_ptqi66GCucihVvJfMjLAmec39IyEx_6qawtMGysU/edit?usp=sharing"",""สบก!DE46"")"),0)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IFERROR(__xludf.DUMMYFUNCTION("IMPORTRANGE(""https://docs.google.com/spreadsheets/d/1XL5vhW3sbDhbH9Cz0tuDiY8C3ctxq1tqvaCgkFb8cCA/edit?usp=sharing"",""มุกดาหาร!I228"")"),225)</f>
        <v>225</v>
      </c>
      <c r="J328" s="340">
        <f ca="1">IFERROR(__xludf.DUMMYFUNCTION("IMPORTRANGE(""https://docs.google.com/spreadsheets/d/1XL5vhW3sbDhbH9Cz0tuDiY8C3ctxq1tqvaCgkFb8cCA/edit?usp=sharing"",""มุกดาหาร!J228"")"),229)</f>
        <v>229</v>
      </c>
      <c r="K328" s="318">
        <f ca="1">IF(I328&gt;0,J328*100/I328,0)</f>
        <v>101.77777777777777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843710</v>
      </c>
      <c r="M329" s="152">
        <f t="shared" ca="1" si="98"/>
        <v>948170</v>
      </c>
      <c r="N329" s="152">
        <f t="shared" ca="1" si="98"/>
        <v>802153.5</v>
      </c>
      <c r="O329" s="151">
        <f t="shared" ref="O329:O331" ca="1" si="99">IF(L329&gt;0,N329*100/L329,0)</f>
        <v>95.074551682450135</v>
      </c>
      <c r="P329" s="151">
        <f t="shared" ref="P329:P331" ca="1" si="100">IF(M329&gt;0,N329*100/M329,0)</f>
        <v>84.600177183416477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843710</v>
      </c>
      <c r="M331" s="157">
        <f t="shared" ca="1" si="102"/>
        <v>948170</v>
      </c>
      <c r="N331" s="157">
        <f t="shared" ca="1" si="102"/>
        <v>802153.5</v>
      </c>
      <c r="O331" s="156">
        <f t="shared" ca="1" si="99"/>
        <v>95.074551682450135</v>
      </c>
      <c r="P331" s="156">
        <f t="shared" ca="1" si="100"/>
        <v>84.600177183416477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696710</v>
      </c>
      <c r="M333" s="627">
        <f ca="1">IFERROR(__xludf.DUMMYFUNCTION("IMPORTRANGE(""https://docs.google.com/spreadsheets/d/1Yj_ptqi66GCucihVvJfMjLAmec39IyEx_6qawtMGysU/edit?usp=sharing"",""สบก!DL46"")"),801170)</f>
        <v>801170</v>
      </c>
      <c r="N333" s="628">
        <f ca="1">IFERROR(__xludf.DUMMYFUNCTION("IMPORTRANGE(""https://docs.google.com/spreadsheets/d/1Yj_ptqi66GCucihVvJfMjLAmec39IyEx_6qawtMGysU/edit?usp=sharing"",""สบก!DM46"")"),663153.5)</f>
        <v>663153.5</v>
      </c>
      <c r="O333" s="169">
        <f ca="1">IF(L333&gt;0,N333*100/L333,0)</f>
        <v>95.183577098075233</v>
      </c>
      <c r="P333" s="169">
        <f ca="1">IF(M333&gt;0,N333*100/M333,0)</f>
        <v>82.773131794750171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IFERROR(__xludf.DUMMYFUNCTION("IMPORTRANGE(""https://docs.google.com/spreadsheets/d/1Yj_ptqi66GCucihVvJfMjLAmec39IyEx_6qawtMGysU/edit?usp=sharing"",""สบก!DI46"")"),390710)</f>
        <v>390710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IFERROR(__xludf.DUMMYFUNCTION("IMPORTRANGE(""https://docs.google.com/spreadsheets/d/1Yj_ptqi66GCucihVvJfMjLAmec39IyEx_6qawtMGysU/edit?usp=sharing"",""สบก!DJ46"")"),147000)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IFERROR(__xludf.DUMMYFUNCTION("IMPORTRANGE(""https://docs.google.com/spreadsheets/d/1Yj_ptqi66GCucihVvJfMjLAmec39IyEx_6qawtMGysU/edit?usp=sharing"",""สบก!DN46"")"),139000)</f>
        <v>139000</v>
      </c>
      <c r="O337" s="626">
        <f ca="1">IF(L337&gt;0,N337*100/L337,0)</f>
        <v>94.557823129251702</v>
      </c>
      <c r="P337" s="626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IFERROR(__xludf.DUMMYFUNCTION("IMPORTRANGE(""https://docs.google.com/spreadsheets/d/1XL5vhW3sbDhbH9Cz0tuDiY8C3ctxq1tqvaCgkFb8cCA/edit?usp=sharing"",""มุกดาหาร!J234"")"),255)</f>
        <v>255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IFERROR(__xludf.DUMMYFUNCTION("IMPORTRANGE(""https://docs.google.com/spreadsheets/d/1XL5vhW3sbDhbH9Cz0tuDiY8C3ctxq1tqvaCgkFb8cCA/edit?usp=sharing"",""มุกดาหาร!J235"")"),1821.86)</f>
        <v>1821.86</v>
      </c>
      <c r="K340" s="343">
        <f t="shared" ca="1" si="103"/>
        <v>101.21444444444444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IFERROR(__xludf.DUMMYFUNCTION("IMPORTRANGE(""https://docs.google.com/spreadsheets/d/1XL5vhW3sbDhbH9Cz0tuDiY8C3ctxq1tqvaCgkFb8cCA/edit?usp=sharing"",""มุกดาหาร!J236"")"),376)</f>
        <v>376</v>
      </c>
      <c r="K341" s="343">
        <f t="shared" ca="1" si="103"/>
        <v>167.11111111111111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IFERROR(__xludf.DUMMYFUNCTION("IMPORTRANGE(""https://docs.google.com/spreadsheets/d/1XL5vhW3sbDhbH9Cz0tuDiY8C3ctxq1tqvaCgkFb8cCA/edit?usp=sharing"",""มุกดาหาร!J237"")"),3294.56)</f>
        <v>3294.56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IFERROR(__xludf.DUMMYFUNCTION("IMPORTRANGE(""https://docs.google.com/spreadsheets/d/1XL5vhW3sbDhbH9Cz0tuDiY8C3ctxq1tqvaCgkFb8cCA/edit?usp=sharing"",""มุกดาหาร!J240"")"),229)</f>
        <v>229</v>
      </c>
      <c r="K345" s="343">
        <f t="shared" ca="1" si="103"/>
        <v>101.77777777777777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IFERROR(__xludf.DUMMYFUNCTION("IMPORTRANGE(""https://docs.google.com/spreadsheets/d/1XL5vhW3sbDhbH9Cz0tuDiY8C3ctxq1tqvaCgkFb8cCA/edit?usp=sharing"",""มุกดาหาร!J241"")"),2206.79999999999)</f>
        <v>2206.7999999999902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IFERROR(__xludf.DUMMYFUNCTION("IMPORTRANGE(""https://docs.google.com/spreadsheets/d/1XL5vhW3sbDhbH9Cz0tuDiY8C3ctxq1tqvaCgkFb8cCA/edit?usp=sharing"",""มุกดาหาร!L242"")"),2534778)</f>
        <v>2534778</v>
      </c>
      <c r="M347" s="358"/>
      <c r="N347" s="358">
        <f ca="1">IFERROR(__xludf.DUMMYFUNCTION("IMPORTRANGE(""https://docs.google.com/spreadsheets/d/1XL5vhW3sbDhbH9Cz0tuDiY8C3ctxq1tqvaCgkFb8cCA/edit?usp=sharing"",""มุกดาหาร!M242"")"),2161346.3)</f>
        <v>2161346.2999999998</v>
      </c>
      <c r="O347" s="358">
        <f ca="1">+IF(L347&gt;0,N347*100/L347,0)</f>
        <v>85.267676301435458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IFERROR(__xludf.DUMMYFUNCTION("IMPORTRANGE(""https://docs.google.com/spreadsheets/d/1XL5vhW3sbDhbH9Cz0tuDiY8C3ctxq1tqvaCgkFb8cCA/edit?usp=sharing"",""มุกดาหาร!J244"")"),190)</f>
        <v>190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IFERROR(__xludf.DUMMYFUNCTION("IMPORTRANGE(""https://docs.google.com/spreadsheets/d/1XL5vhW3sbDhbH9Cz0tuDiY8C3ctxq1tqvaCgkFb8cCA/edit?usp=sharing"",""มุกดาหาร!M244"")"),432725)</f>
        <v>432725</v>
      </c>
      <c r="O349" s="373">
        <f ca="1">+IF(L349&gt;0,N349*100/L349,0)</f>
        <v>97.038772901576479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IFERROR(__xludf.DUMMYFUNCTION("IMPORTRANGE(""https://docs.google.com/spreadsheets/d/1XL5vhW3sbDhbH9Cz0tuDiY8C3ctxq1tqvaCgkFb8cCA/edit?usp=sharing"",""มุกดาหาร!L247"")"),445930)</f>
        <v>445930</v>
      </c>
      <c r="M352" s="165"/>
      <c r="N352" s="164">
        <f ca="1">IFERROR(__xludf.DUMMYFUNCTION("IMPORTRANGE(""https://docs.google.com/spreadsheets/d/1XL5vhW3sbDhbH9Cz0tuDiY8C3ctxq1tqvaCgkFb8cCA/edit?usp=sharing"",""มุกดาหาร!M247"")"),432725)</f>
        <v>432725</v>
      </c>
      <c r="O352" s="165">
        <f t="shared" ca="1" si="105"/>
        <v>97.038772901576479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IFERROR(__xludf.DUMMYFUNCTION("IMPORTRANGE(""https://docs.google.com/spreadsheets/d/1XL5vhW3sbDhbH9Cz0tuDiY8C3ctxq1tqvaCgkFb8cCA/edit?usp=sharing"",""มุกดาหาร!L249"")"),445930)</f>
        <v>445930</v>
      </c>
      <c r="M354" s="169"/>
      <c r="N354" s="168">
        <f ca="1">IFERROR(__xludf.DUMMYFUNCTION("IMPORTRANGE(""https://docs.google.com/spreadsheets/d/1XL5vhW3sbDhbH9Cz0tuDiY8C3ctxq1tqvaCgkFb8cCA/edit?usp=sharing"",""มุกดาหาร!M249"")"),432725)</f>
        <v>432725</v>
      </c>
      <c r="O354" s="169">
        <f t="shared" ca="1" si="105"/>
        <v>97.038772901576479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IFERROR(__xludf.DUMMYFUNCTION("IMPORTRANGE(""https://docs.google.com/spreadsheets/d/1XL5vhW3sbDhbH9Cz0tuDiY8C3ctxq1tqvaCgkFb8cCA/edit?usp=sharing"",""มุกดาหาร!M250"")"),78900)</f>
        <v>78900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IFERROR(__xludf.DUMMYFUNCTION("IMPORTRANGE(""https://docs.google.com/spreadsheets/d/1XL5vhW3sbDhbH9Cz0tuDiY8C3ctxq1tqvaCgkFb8cCA/edit?usp=sharing"",""มุกดาหาร!M251"")"),170100)</f>
        <v>170100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IFERROR(__xludf.DUMMYFUNCTION("IMPORTRANGE(""https://docs.google.com/spreadsheets/d/1XL5vhW3sbDhbH9Cz0tuDiY8C3ctxq1tqvaCgkFb8cCA/edit?usp=sharing"",""มุกดาหาร!M252"")"),132365)</f>
        <v>132365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IFERROR(__xludf.DUMMYFUNCTION("IMPORTRANGE(""https://docs.google.com/spreadsheets/d/1XL5vhW3sbDhbH9Cz0tuDiY8C3ctxq1tqvaCgkFb8cCA/edit?usp=sharing"",""มุกดาหาร!M253"")"),51360)</f>
        <v>51360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IFERROR(__xludf.DUMMYFUNCTION("IMPORTRANGE(""https://docs.google.com/spreadsheets/d/1XL5vhW3sbDhbH9Cz0tuDiY8C3ctxq1tqvaCgkFb8cCA/edit?usp=sharing"",""มุกดาหาร!J270"")"),190)</f>
        <v>190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IFERROR(__xludf.DUMMYFUNCTION("IMPORTRANGE(""https://docs.google.com/spreadsheets/d/1XL5vhW3sbDhbH9Cz0tuDiY8C3ctxq1tqvaCgkFb8cCA/edit?usp=sharing"",""มุกดาหาร!J272"")"),90)</f>
        <v>90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IFERROR(__xludf.DUMMYFUNCTION("IMPORTRANGE(""https://docs.google.com/spreadsheets/d/1XL5vhW3sbDhbH9Cz0tuDiY8C3ctxq1tqvaCgkFb8cCA/edit?usp=sharing"",""มุกดาหาร!J274"")"),0)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IFERROR(__xludf.DUMMYFUNCTION("IMPORTRANGE(""https://docs.google.com/spreadsheets/d/1XL5vhW3sbDhbH9Cz0tuDiY8C3ctxq1tqvaCgkFb8cCA/edit?usp=sharing"",""มุกดาหาร!M275"")"),970709)</f>
        <v>970709</v>
      </c>
      <c r="O380" s="373">
        <f ca="1">+IF(L380&gt;0,N380*100/L380,0)</f>
        <v>94.37920507136468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IFERROR(__xludf.DUMMYFUNCTION("IMPORTRANGE(""https://docs.google.com/spreadsheets/d/1XL5vhW3sbDhbH9Cz0tuDiY8C3ctxq1tqvaCgkFb8cCA/edit?usp=sharing"",""มุกดาหาร!M278"")"),970709)</f>
        <v>970709</v>
      </c>
      <c r="O383" s="165">
        <f t="shared" ca="1" si="109"/>
        <v>94.37920507136468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IFERROR(__xludf.DUMMYFUNCTION("IMPORTRANGE(""https://docs.google.com/spreadsheets/d/1XL5vhW3sbDhbH9Cz0tuDiY8C3ctxq1tqvaCgkFb8cCA/edit?usp=sharing"",""มุกดาหาร!M280"")"),970709)</f>
        <v>970709</v>
      </c>
      <c r="O385" s="169">
        <f t="shared" ca="1" si="109"/>
        <v>94.37920507136468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IFERROR(__xludf.DUMMYFUNCTION("IMPORTRANGE(""https://docs.google.com/spreadsheets/d/1XL5vhW3sbDhbH9Cz0tuDiY8C3ctxq1tqvaCgkFb8cCA/edit?usp=sharing"",""มุกดาหาร!M282"")"),621840)</f>
        <v>621840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IFERROR(__xludf.DUMMYFUNCTION("IMPORTRANGE(""https://docs.google.com/spreadsheets/d/1XL5vhW3sbDhbH9Cz0tuDiY8C3ctxq1tqvaCgkFb8cCA/edit?usp=sharing"",""มุกดาหาร!M283"")"),117699)</f>
        <v>117699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IFERROR(__xludf.DUMMYFUNCTION("IMPORTRANGE(""https://docs.google.com/spreadsheets/d/1XL5vhW3sbDhbH9Cz0tuDiY8C3ctxq1tqvaCgkFb8cCA/edit?usp=sharing"",""มุกดาหาร!M284"")"),33170)</f>
        <v>33170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IFERROR(__xludf.DUMMYFUNCTION("IMPORTRANGE(""https://docs.google.com/spreadsheets/d/1XL5vhW3sbDhbH9Cz0tuDiY8C3ctxq1tqvaCgkFb8cCA/edit?usp=sharing"",""มุกดาหาร!J295"")"),1)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IFERROR(__xludf.DUMMYFUNCTION("IMPORTRANGE(""https://docs.google.com/spreadsheets/d/1XL5vhW3sbDhbH9Cz0tuDiY8C3ctxq1tqvaCgkFb8cCA/edit?usp=sharing"",""มุกดาหาร!M296"")"),94853)</f>
        <v>94853</v>
      </c>
      <c r="O401" s="373">
        <f ca="1">+IF(L401&gt;0,N401*100/L401,0)</f>
        <v>59.301656767739921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IFERROR(__xludf.DUMMYFUNCTION("IMPORTRANGE(""https://docs.google.com/spreadsheets/d/1XL5vhW3sbDhbH9Cz0tuDiY8C3ctxq1tqvaCgkFb8cCA/edit?usp=sharing"",""มุกดาหาร!M299"")"),94853)</f>
        <v>94853</v>
      </c>
      <c r="O404" s="169">
        <f t="shared" ca="1" si="112"/>
        <v>59.301656767739921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IFERROR(__xludf.DUMMYFUNCTION("IMPORTRANGE(""https://docs.google.com/spreadsheets/d/1XL5vhW3sbDhbH9Cz0tuDiY8C3ctxq1tqvaCgkFb8cCA/edit?usp=sharing"",""มุกดาหาร!M301"")"),94853)</f>
        <v>94853</v>
      </c>
      <c r="O406" s="169">
        <f t="shared" ca="1" si="112"/>
        <v>59.301656767739921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IFERROR(__xludf.DUMMYFUNCTION("IMPORTRANGE(""https://docs.google.com/spreadsheets/d/1XL5vhW3sbDhbH9Cz0tuDiY8C3ctxq1tqvaCgkFb8cCA/edit?usp=sharing"",""มุกดาหาร!M302"")"),86053)</f>
        <v>86053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IFERROR(__xludf.DUMMYFUNCTION("IMPORTRANGE(""https://docs.google.com/spreadsheets/d/1XL5vhW3sbDhbH9Cz0tuDiY8C3ctxq1tqvaCgkFb8cCA/edit?usp=sharing"",""มุกดาหาร!M305"")"),8800)</f>
        <v>8800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IFERROR(__xludf.DUMMYFUNCTION("IMPORTRANGE(""https://docs.google.com/spreadsheets/d/1XL5vhW3sbDhbH9Cz0tuDiY8C3ctxq1tqvaCgkFb8cCA/edit?usp=sharing"",""มุกดาหาร!M330"")"),139000)</f>
        <v>139000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IFERROR(__xludf.DUMMYFUNCTION("IMPORTRANGE(""https://docs.google.com/spreadsheets/d/1XL5vhW3sbDhbH9Cz0tuDiY8C3ctxq1tqvaCgkFb8cCA/edit?usp=sharing"",""มุกดาหาร!M332"")"),139000)</f>
        <v>139000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IFERROR(__xludf.DUMMYFUNCTION("IMPORTRANGE(""https://docs.google.com/spreadsheets/d/1XL5vhW3sbDhbH9Cz0tuDiY8C3ctxq1tqvaCgkFb8cCA/edit?usp=sharing"",""มุกดาหาร!M334"")"),139000)</f>
        <v>139000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IFERROR(__xludf.DUMMYFUNCTION("IMPORTRANGE(""https://docs.google.com/spreadsheets/d/1XL5vhW3sbDhbH9Cz0tuDiY8C3ctxq1tqvaCgkFb8cCA/edit?usp=sharing"",""มุกดาหาร!M335"")"),65200)</f>
        <v>65200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IFERROR(__xludf.DUMMYFUNCTION("IMPORTRANGE(""https://docs.google.com/spreadsheets/d/1XL5vhW3sbDhbH9Cz0tuDiY8C3ctxq1tqvaCgkFb8cCA/edit?usp=sharing"",""มุกดาหาร!M338"")"),73800)</f>
        <v>73800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IFERROR(__xludf.DUMMYFUNCTION("IMPORTRANGE(""https://docs.google.com/spreadsheets/d/1XL5vhW3sbDhbH9Cz0tuDiY8C3ctxq1tqvaCgkFb8cCA/edit?usp=sharing"",""มุกดาหาร!J349"")"),1)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IFERROR(__xludf.DUMMYFUNCTION("IMPORTRANGE(""https://docs.google.com/spreadsheets/d/1XL5vhW3sbDhbH9Cz0tuDiY8C3ctxq1tqvaCgkFb8cCA/edit?usp=sharing"",""มุกดาหาร!J350"")"),38747)</f>
        <v>38747</v>
      </c>
      <c r="K455" s="372">
        <f ca="1">IF(I455&gt;0,J455*100/I455,0)</f>
        <v>100.00516195638147</v>
      </c>
      <c r="L455" s="373">
        <f ca="1">IFERROR(__xludf.DUMMYFUNCTION("IMPORTRANGE(""https://docs.google.com/spreadsheets/d/1XL5vhW3sbDhbH9Cz0tuDiY8C3ctxq1tqvaCgkFb8cCA/edit?usp=sharing"",""มุกดาหาร!L350"")"),448018)</f>
        <v>448018</v>
      </c>
      <c r="M455" s="373"/>
      <c r="N455" s="373">
        <f ca="1">IFERROR(__xludf.DUMMYFUNCTION("IMPORTRANGE(""https://docs.google.com/spreadsheets/d/1XL5vhW3sbDhbH9Cz0tuDiY8C3ctxq1tqvaCgkFb8cCA/edit?usp=sharing"",""มุกดาหาร!M350"")"),291470)</f>
        <v>291470</v>
      </c>
      <c r="O455" s="373">
        <f t="shared" ref="O455:O459" ca="1" si="116">+IF(L455&gt;0,N455*100/L455,0)</f>
        <v>65.057653933547314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IFERROR(__xludf.DUMMYFUNCTION("IMPORTRANGE(""https://docs.google.com/spreadsheets/d/1XL5vhW3sbDhbH9Cz0tuDiY8C3ctxq1tqvaCgkFb8cCA/edit?usp=sharing"",""มุกดาหาร!L352"")"),448018)</f>
        <v>448018</v>
      </c>
      <c r="M457" s="165"/>
      <c r="N457" s="169">
        <f ca="1">IFERROR(__xludf.DUMMYFUNCTION("IMPORTRANGE(""https://docs.google.com/spreadsheets/d/1XL5vhW3sbDhbH9Cz0tuDiY8C3ctxq1tqvaCgkFb8cCA/edit?usp=sharing"",""มุกดาหาร!M352"")"),291470)</f>
        <v>291470</v>
      </c>
      <c r="O457" s="169">
        <f t="shared" ca="1" si="116"/>
        <v>65.057653933547314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IFERROR(__xludf.DUMMYFUNCTION("IMPORTRANGE(""https://docs.google.com/spreadsheets/d/1XL5vhW3sbDhbH9Cz0tuDiY8C3ctxq1tqvaCgkFb8cCA/edit?usp=sharing"",""มุกดาหาร!L354"")"),448018)</f>
        <v>448018</v>
      </c>
      <c r="M459" s="169"/>
      <c r="N459" s="169">
        <f ca="1">IFERROR(__xludf.DUMMYFUNCTION("IMPORTRANGE(""https://docs.google.com/spreadsheets/d/1XL5vhW3sbDhbH9Cz0tuDiY8C3ctxq1tqvaCgkFb8cCA/edit?usp=sharing"",""มุกดาหาร!M354"")"),291470)</f>
        <v>291470</v>
      </c>
      <c r="O459" s="169">
        <f t="shared" ca="1" si="116"/>
        <v>65.057653933547314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IFERROR(__xludf.DUMMYFUNCTION("IMPORTRANGE(""https://docs.google.com/spreadsheets/d/1XL5vhW3sbDhbH9Cz0tuDiY8C3ctxq1tqvaCgkFb8cCA/edit?usp=sharing"",""มุกดาหาร!M357"")"),94599)</f>
        <v>94599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IFERROR(__xludf.DUMMYFUNCTION("IMPORTRANGE(""https://docs.google.com/spreadsheets/d/1XL5vhW3sbDhbH9Cz0tuDiY8C3ctxq1tqvaCgkFb8cCA/edit?usp=sharing"",""มุกดาหาร!M358"")"),196871)</f>
        <v>196871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IFERROR(__xludf.DUMMYFUNCTION("IMPORTRANGE(""https://docs.google.com/spreadsheets/d/1XL5vhW3sbDhbH9Cz0tuDiY8C3ctxq1tqvaCgkFb8cCA/edit?usp=sharing"",""มุกดาหาร!J359"")"),38747)</f>
        <v>38747</v>
      </c>
      <c r="K464" s="269">
        <f t="shared" ref="K464:K515" ca="1" si="117">IF(I464&gt;0,J464*100/I464,0)</f>
        <v>100.00516195638147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IFERROR(__xludf.DUMMYFUNCTION("IMPORTRANGE(""https://docs.google.com/spreadsheets/d/1XL5vhW3sbDhbH9Cz0tuDiY8C3ctxq1tqvaCgkFb8cCA/edit?usp=sharing"",""มุกดาหาร!J368"")"),38744.83)</f>
        <v>38744.83</v>
      </c>
      <c r="K473" s="202">
        <f t="shared" ca="1" si="117"/>
        <v>99.999561233707581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IFERROR(__xludf.DUMMYFUNCTION("IMPORTRANGE(""https://docs.google.com/spreadsheets/d/1XL5vhW3sbDhbH9Cz0tuDiY8C3ctxq1tqvaCgkFb8cCA/edit?usp=sharing"",""มุกดาหาร!J370"")"),33989)</f>
        <v>33989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IFERROR(__xludf.DUMMYFUNCTION("IMPORTRANGE(""https://docs.google.com/spreadsheets/d/1XL5vhW3sbDhbH9Cz0tuDiY8C3ctxq1tqvaCgkFb8cCA/edit?usp=sharing"",""มุกดาหาร!J376"")"),38747)</f>
        <v>38747</v>
      </c>
      <c r="K481" s="202">
        <f t="shared" ca="1" si="117"/>
        <v>100.00516195638147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IFERROR(__xludf.DUMMYFUNCTION("IMPORTRANGE(""https://docs.google.com/spreadsheets/d/1XL5vhW3sbDhbH9Cz0tuDiY8C3ctxq1tqvaCgkFb8cCA/edit?usp=sharing"",""มุกดาหาร!J377"")"),4715)</f>
        <v>4715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IFERROR(__xludf.DUMMYFUNCTION("IMPORTRANGE(""https://docs.google.com/spreadsheets/d/1XL5vhW3sbDhbH9Cz0tuDiY8C3ctxq1tqvaCgkFb8cCA/edit?usp=sharing"",""มุกดาหาร!J378"")"),36576)</f>
        <v>36576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IFERROR(__xludf.DUMMYFUNCTION("IMPORTRANGE(""https://docs.google.com/spreadsheets/d/1XL5vhW3sbDhbH9Cz0tuDiY8C3ctxq1tqvaCgkFb8cCA/edit?usp=sharing"",""มุกดาหาร!J379"")"),4481)</f>
        <v>4481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IFERROR(__xludf.DUMMYFUNCTION("IMPORTRANGE(""https://docs.google.com/spreadsheets/d/1XL5vhW3sbDhbH9Cz0tuDiY8C3ctxq1tqvaCgkFb8cCA/edit?usp=sharing"",""มุกดาหาร!J380"")"),201)</f>
        <v>201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IFERROR(__xludf.DUMMYFUNCTION("IMPORTRANGE(""https://docs.google.com/spreadsheets/d/1XL5vhW3sbDhbH9Cz0tuDiY8C3ctxq1tqvaCgkFb8cCA/edit?usp=sharing"",""มุกดาหาร!J381"")"),22)</f>
        <v>22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IFERROR(__xludf.DUMMYFUNCTION("IMPORTRANGE(""https://docs.google.com/spreadsheets/d/1XL5vhW3sbDhbH9Cz0tuDiY8C3ctxq1tqvaCgkFb8cCA/edit?usp=sharing"",""มุกดาหาร!J382"")"),1067)</f>
        <v>1067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IFERROR(__xludf.DUMMYFUNCTION("IMPORTRANGE(""https://docs.google.com/spreadsheets/d/1XL5vhW3sbDhbH9Cz0tuDiY8C3ctxq1tqvaCgkFb8cCA/edit?usp=sharing"",""มุกดาหาร!J383"")"),119)</f>
        <v>119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IFERROR(__xludf.DUMMYFUNCTION("IMPORTRANGE(""https://docs.google.com/spreadsheets/d/1XL5vhW3sbDhbH9Cz0tuDiY8C3ctxq1tqvaCgkFb8cCA/edit?usp=sharing"",""มุกดาหาร!J384"")"),1067)</f>
        <v>1067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IFERROR(__xludf.DUMMYFUNCTION("IMPORTRANGE(""https://docs.google.com/spreadsheets/d/1XL5vhW3sbDhbH9Cz0tuDiY8C3ctxq1tqvaCgkFb8cCA/edit?usp=sharing"",""มุกดาหาร!J385"")"),119)</f>
        <v>119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IFERROR(__xludf.DUMMYFUNCTION("IMPORTRANGE(""https://docs.google.com/spreadsheets/d/1XL5vhW3sbDhbH9Cz0tuDiY8C3ctxq1tqvaCgkFb8cCA/edit?usp=sharing"",""มุกดาหาร!J388"")"),903)</f>
        <v>903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IFERROR(__xludf.DUMMYFUNCTION("IMPORTRANGE(""https://docs.google.com/spreadsheets/d/1XL5vhW3sbDhbH9Cz0tuDiY8C3ctxq1tqvaCgkFb8cCA/edit?usp=sharing"",""มุกดาหาร!J389"")"),93)</f>
        <v>93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IFERROR(__xludf.DUMMYFUNCTION("IMPORTRANGE(""https://docs.google.com/spreadsheets/d/1XL5vhW3sbDhbH9Cz0tuDiY8C3ctxq1tqvaCgkFb8cCA/edit?usp=sharing"",""มุกดาหาร!J392"")"),2280)</f>
        <v>2280</v>
      </c>
      <c r="K497" s="444">
        <f t="shared" ca="1" si="117"/>
        <v>100.04387889425186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IFERROR(__xludf.DUMMYFUNCTION("IMPORTRANGE(""https://docs.google.com/spreadsheets/d/1XL5vhW3sbDhbH9Cz0tuDiY8C3ctxq1tqvaCgkFb8cCA/edit?usp=sharing"",""มุกดาหาร!J393"")"),2280)</f>
        <v>2280</v>
      </c>
      <c r="K498" s="202">
        <f t="shared" ca="1" si="117"/>
        <v>100.04387889425186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IFERROR(__xludf.DUMMYFUNCTION("IMPORTRANGE(""https://docs.google.com/spreadsheets/d/1XL5vhW3sbDhbH9Cz0tuDiY8C3ctxq1tqvaCgkFb8cCA/edit?usp=sharing"",""มุกดาหาร!J394"")"),188)</f>
        <v>188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IFERROR(__xludf.DUMMYFUNCTION("IMPORTRANGE(""https://docs.google.com/spreadsheets/d/1XL5vhW3sbDhbH9Cz0tuDiY8C3ctxq1tqvaCgkFb8cCA/edit?usp=sharing"",""มุกดาหาร!J395"")"),2115)</f>
        <v>2115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IFERROR(__xludf.DUMMYFUNCTION("IMPORTRANGE(""https://docs.google.com/spreadsheets/d/1XL5vhW3sbDhbH9Cz0tuDiY8C3ctxq1tqvaCgkFb8cCA/edit?usp=sharing"",""มุกดาหาร!J396"")"),173)</f>
        <v>173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IFERROR(__xludf.DUMMYFUNCTION("IMPORTRANGE(""https://docs.google.com/spreadsheets/d/1XL5vhW3sbDhbH9Cz0tuDiY8C3ctxq1tqvaCgkFb8cCA/edit?usp=sharing"",""มุกดาหาร!J397"")"),1108)</f>
        <v>1108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IFERROR(__xludf.DUMMYFUNCTION("IMPORTRANGE(""https://docs.google.com/spreadsheets/d/1XL5vhW3sbDhbH9Cz0tuDiY8C3ctxq1tqvaCgkFb8cCA/edit?usp=sharing"",""มุกดาหาร!J398"")"),84)</f>
        <v>84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IFERROR(__xludf.DUMMYFUNCTION("IMPORTRANGE(""https://docs.google.com/spreadsheets/d/1XL5vhW3sbDhbH9Cz0tuDiY8C3ctxq1tqvaCgkFb8cCA/edit?usp=sharing"",""มุกดาหาร!J399"")"),1007)</f>
        <v>1007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IFERROR(__xludf.DUMMYFUNCTION("IMPORTRANGE(""https://docs.google.com/spreadsheets/d/1XL5vhW3sbDhbH9Cz0tuDiY8C3ctxq1tqvaCgkFb8cCA/edit?usp=sharing"",""มุกดาหาร!J400"")"),89)</f>
        <v>89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IFERROR(__xludf.DUMMYFUNCTION("IMPORTRANGE(""https://docs.google.com/spreadsheets/d/1XL5vhW3sbDhbH9Cz0tuDiY8C3ctxq1tqvaCgkFb8cCA/edit?usp=sharing"",""มุกดาหาร!J403"")"),86)</f>
        <v>86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IFERROR(__xludf.DUMMYFUNCTION("IMPORTRANGE(""https://docs.google.com/spreadsheets/d/1XL5vhW3sbDhbH9Cz0tuDiY8C3ctxq1tqvaCgkFb8cCA/edit?usp=sharing"",""มุกดาหาร!J404"")"),4)</f>
        <v>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IFERROR(__xludf.DUMMYFUNCTION("IMPORTRANGE(""https://docs.google.com/spreadsheets/d/1XL5vhW3sbDhbH9Cz0tuDiY8C3ctxq1tqvaCgkFb8cCA/edit?usp=sharing"",""มุกดาหาร!J405"")"),86)</f>
        <v>86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IFERROR(__xludf.DUMMYFUNCTION("IMPORTRANGE(""https://docs.google.com/spreadsheets/d/1XL5vhW3sbDhbH9Cz0tuDiY8C3ctxq1tqvaCgkFb8cCA/edit?usp=sharing"",""มุกดาหาร!J409"")"),79)</f>
        <v>79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IFERROR(__xludf.DUMMYFUNCTION("IMPORTRANGE(""https://docs.google.com/spreadsheets/d/1XL5vhW3sbDhbH9Cz0tuDiY8C3ctxq1tqvaCgkFb8cCA/edit?usp=sharing"",""มุกดาหาร!J410"")"),11)</f>
        <v>11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IFERROR(__xludf.DUMMYFUNCTION("IMPORTRANGE(""https://docs.google.com/spreadsheets/d/1XL5vhW3sbDhbH9Cz0tuDiY8C3ctxq1tqvaCgkFb8cCA/edit?usp=sharing"",""มุกดาหาร!I412"")"),0)</f>
        <v>0</v>
      </c>
      <c r="J517" s="285">
        <f ca="1">IFERROR(__xludf.DUMMYFUNCTION("IMPORTRANGE(""https://docs.google.com/spreadsheets/d/1XL5vhW3sbDhbH9Cz0tuDiY8C3ctxq1tqvaCgkFb8cCA/edit?usp=sharing"",""มุกดาหาร!J412"")"),0)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IFERROR(__xludf.DUMMYFUNCTION("IMPORTRANGE(""https://docs.google.com/spreadsheets/d/1XL5vhW3sbDhbH9Cz0tuDiY8C3ctxq1tqvaCgkFb8cCA/edit?usp=sharing"",""มุกดาหาร!I413"")"),0)</f>
        <v>0</v>
      </c>
      <c r="J518" s="285">
        <f ca="1">IFERROR(__xludf.DUMMYFUNCTION("IMPORTRANGE(""https://docs.google.com/spreadsheets/d/1XL5vhW3sbDhbH9Cz0tuDiY8C3ctxq1tqvaCgkFb8cCA/edit?usp=sharing"",""มุกดาหาร!J413"")"),0)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IFERROR(__xludf.DUMMYFUNCTION("IMPORTRANGE(""https://docs.google.com/spreadsheets/d/1XL5vhW3sbDhbH9Cz0tuDiY8C3ctxq1tqvaCgkFb8cCA/edit?usp=sharing"",""มุกดาหาร!J418"")"),209)</f>
        <v>209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IFERROR(__xludf.DUMMYFUNCTION("IMPORTRANGE(""https://docs.google.com/spreadsheets/d/1XL5vhW3sbDhbH9Cz0tuDiY8C3ctxq1tqvaCgkFb8cCA/edit?usp=sharing"",""มุกดาหาร!I420"")"),209)</f>
        <v>209</v>
      </c>
      <c r="J525" s="285">
        <f ca="1">IFERROR(__xludf.DUMMYFUNCTION("IMPORTRANGE(""https://docs.google.com/spreadsheets/d/1XL5vhW3sbDhbH9Cz0tuDiY8C3ctxq1tqvaCgkFb8cCA/edit?usp=sharing"",""มุกดาหาร!J420"")"),209)</f>
        <v>209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IFERROR(__xludf.DUMMYFUNCTION("IMPORTRANGE(""https://docs.google.com/spreadsheets/d/1XL5vhW3sbDhbH9Cz0tuDiY8C3ctxq1tqvaCgkFb8cCA/edit?usp=sharing"",""มุกดาหาร!I421"")"),16)</f>
        <v>16</v>
      </c>
      <c r="J526" s="285">
        <f ca="1">IFERROR(__xludf.DUMMYFUNCTION("IMPORTRANGE(""https://docs.google.com/spreadsheets/d/1XL5vhW3sbDhbH9Cz0tuDiY8C3ctxq1tqvaCgkFb8cCA/edit?usp=sharing"",""มุกดาหาร!J421"")"),16)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IFERROR(__xludf.DUMMYFUNCTION("IMPORTRANGE(""https://docs.google.com/spreadsheets/d/1XL5vhW3sbDhbH9Cz0tuDiY8C3ctxq1tqvaCgkFb8cCA/edit?usp=sharing"",""มุกดาหาร!J422"")"),135)</f>
        <v>135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IFERROR(__xludf.DUMMYFUNCTION("IMPORTRANGE(""https://docs.google.com/spreadsheets/d/1XL5vhW3sbDhbH9Cz0tuDiY8C3ctxq1tqvaCgkFb8cCA/edit?usp=sharing"",""มุกดาหาร!J423"")"),9)</f>
        <v>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IFERROR(__xludf.DUMMYFUNCTION("IMPORTRANGE(""https://docs.google.com/spreadsheets/d/1XL5vhW3sbDhbH9Cz0tuDiY8C3ctxq1tqvaCgkFb8cCA/edit?usp=sharing"",""มุกดาหาร!J424"")"),74)</f>
        <v>74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IFERROR(__xludf.DUMMYFUNCTION("IMPORTRANGE(""https://docs.google.com/spreadsheets/d/1XL5vhW3sbDhbH9Cz0tuDiY8C3ctxq1tqvaCgkFb8cCA/edit?usp=sharing"",""มุกดาหาร!J425"")"),7)</f>
        <v>7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IFERROR(__xludf.DUMMYFUNCTION("IMPORTRANGE(""https://docs.google.com/spreadsheets/d/1XL5vhW3sbDhbH9Cz0tuDiY8C3ctxq1tqvaCgkFb8cCA/edit?usp=sharing"",""มุกดาหาร!J459"")"),2332)</f>
        <v>2332</v>
      </c>
      <c r="K564" s="372">
        <f ca="1">IF(I564&gt;0,J564*100/I564,0)</f>
        <v>129.55555555555554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IFERROR(__xludf.DUMMYFUNCTION("IMPORTRANGE(""https://docs.google.com/spreadsheets/d/1XL5vhW3sbDhbH9Cz0tuDiY8C3ctxq1tqvaCgkFb8cCA/edit?usp=sharing"",""มุกดาหาร!M459"")"),85499.3)</f>
        <v>85499.3</v>
      </c>
      <c r="O564" s="373">
        <f t="shared" ref="O564:O568" ca="1" si="122">+IF(L564&gt;0,N564*100/L564,0)</f>
        <v>62.646028722157091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IFERROR(__xludf.DUMMYFUNCTION("IMPORTRANGE(""https://docs.google.com/spreadsheets/d/1XL5vhW3sbDhbH9Cz0tuDiY8C3ctxq1tqvaCgkFb8cCA/edit?usp=sharing"",""มุกดาหาร!M461"")"),85499.3)</f>
        <v>85499.3</v>
      </c>
      <c r="O566" s="169">
        <f t="shared" ca="1" si="122"/>
        <v>62.646028722157091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IFERROR(__xludf.DUMMYFUNCTION("IMPORTRANGE(""https://docs.google.com/spreadsheets/d/1XL5vhW3sbDhbH9Cz0tuDiY8C3ctxq1tqvaCgkFb8cCA/edit?usp=sharing"",""มุกดาหาร!M463"")"),85499.3)</f>
        <v>85499.3</v>
      </c>
      <c r="O568" s="169">
        <f t="shared" ca="1" si="122"/>
        <v>62.646028722157091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IFERROR(__xludf.DUMMYFUNCTION("IMPORTRANGE(""https://docs.google.com/spreadsheets/d/1XL5vhW3sbDhbH9Cz0tuDiY8C3ctxq1tqvaCgkFb8cCA/edit?usp=sharing"",""มุกดาหาร!M467"")"),25366.3)</f>
        <v>25366.3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IFERROR(__xludf.DUMMYFUNCTION("IMPORTRANGE(""https://docs.google.com/spreadsheets/d/1XL5vhW3sbDhbH9Cz0tuDiY8C3ctxq1tqvaCgkFb8cCA/edit?usp=sharing"",""มุกดาหาร!J468"")"),2332)</f>
        <v>2332</v>
      </c>
      <c r="K573" s="202">
        <f ca="1">IF(I573&gt;0,J573*100/I573,0)</f>
        <v>129.55555555555554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IFERROR(__xludf.DUMMYFUNCTION("IMPORTRANGE(""https://docs.google.com/spreadsheets/d/1XL5vhW3sbDhbH9Cz0tuDiY8C3ctxq1tqvaCgkFb8cCA/edit?usp=sharing"",""มุกดาหาร!J471"")"),455)</f>
        <v>455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IFERROR(__xludf.DUMMYFUNCTION("IMPORTRANGE(""https://docs.google.com/spreadsheets/d/1XL5vhW3sbDhbH9Cz0tuDiY8C3ctxq1tqvaCgkFb8cCA/edit?usp=sharing"",""มุกดาหาร!J472"")"),1877)</f>
        <v>1877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IFERROR(__xludf.DUMMYFUNCTION("IMPORTRANGE(""https://docs.google.com/spreadsheets/d/1XL5vhW3sbDhbH9Cz0tuDiY8C3ctxq1tqvaCgkFb8cCA/edit?usp=sharing"",""มุกดาหาร!J475"")"),48)</f>
        <v>48</v>
      </c>
      <c r="K580" s="372">
        <f ca="1">IF(I580&gt;0,J580*100/I580,0)</f>
        <v>120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IFERROR(__xludf.DUMMYFUNCTION("IMPORTRANGE(""https://docs.google.com/spreadsheets/d/1XL5vhW3sbDhbH9Cz0tuDiY8C3ctxq1tqvaCgkFb8cCA/edit?usp=sharing"",""มุกดาหาร!M475"")"),111950)</f>
        <v>111950</v>
      </c>
      <c r="O580" s="373">
        <f t="shared" ref="O580:O584" ca="1" si="124">+IF(L580&gt;0,N580*100/L580,0)</f>
        <v>83.271347813150854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IFERROR(__xludf.DUMMYFUNCTION("IMPORTRANGE(""https://docs.google.com/spreadsheets/d/1XL5vhW3sbDhbH9Cz0tuDiY8C3ctxq1tqvaCgkFb8cCA/edit?usp=sharing"",""มุกดาหาร!M477"")"),111950)</f>
        <v>111950</v>
      </c>
      <c r="O582" s="169">
        <f t="shared" ca="1" si="124"/>
        <v>83.271347813150854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IFERROR(__xludf.DUMMYFUNCTION("IMPORTRANGE(""https://docs.google.com/spreadsheets/d/1XL5vhW3sbDhbH9Cz0tuDiY8C3ctxq1tqvaCgkFb8cCA/edit?usp=sharing"",""มุกดาหาร!M479"")"),111950)</f>
        <v>111950</v>
      </c>
      <c r="O584" s="169">
        <f t="shared" ca="1" si="124"/>
        <v>83.271347813150854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IFERROR(__xludf.DUMMYFUNCTION("IMPORTRANGE(""https://docs.google.com/spreadsheets/d/1XL5vhW3sbDhbH9Cz0tuDiY8C3ctxq1tqvaCgkFb8cCA/edit?usp=sharing"",""มุกดาหาร!M483"")"),111950)</f>
        <v>111950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IFERROR(__xludf.DUMMYFUNCTION("IMPORTRANGE(""https://docs.google.com/spreadsheets/d/1XL5vhW3sbDhbH9Cz0tuDiY8C3ctxq1tqvaCgkFb8cCA/edit?usp=sharing"",""มุกดาหาร!J486"")"),45)</f>
        <v>45</v>
      </c>
      <c r="K591" s="163">
        <f t="shared" ca="1" si="125"/>
        <v>112.5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IFERROR(__xludf.DUMMYFUNCTION("IMPORTRANGE(""https://docs.google.com/spreadsheets/d/1XL5vhW3sbDhbH9Cz0tuDiY8C3ctxq1tqvaCgkFb8cCA/edit?usp=sharing"",""มุกดาหาร!J487"")"),35.62)</f>
        <v>35.619999999999997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IFERROR(__xludf.DUMMYFUNCTION("IMPORTRANGE(""https://docs.google.com/spreadsheets/d/1XL5vhW3sbDhbH9Cz0tuDiY8C3ctxq1tqvaCgkFb8cCA/edit?usp=sharing"",""มุกดาหาร!J488"")"),49)</f>
        <v>49</v>
      </c>
      <c r="K593" s="163">
        <f t="shared" ca="1" si="125"/>
        <v>122.5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IFERROR(__xludf.DUMMYFUNCTION("IMPORTRANGE(""https://docs.google.com/spreadsheets/d/1XL5vhW3sbDhbH9Cz0tuDiY8C3ctxq1tqvaCgkFb8cCA/edit?usp=sharing"",""มุกดาหาร!J489"")"),32.55)</f>
        <v>32.549999999999997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IFERROR(__xludf.DUMMYFUNCTION("IMPORTRANGE(""https://docs.google.com/spreadsheets/d/1XL5vhW3sbDhbH9Cz0tuDiY8C3ctxq1tqvaCgkFb8cCA/edit?usp=sharing"",""มุกดาหาร!J490"")"),48)</f>
        <v>48</v>
      </c>
      <c r="K595" s="163">
        <f t="shared" ca="1" si="125"/>
        <v>120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IFERROR(__xludf.DUMMYFUNCTION("IMPORTRANGE(""https://docs.google.com/spreadsheets/d/1XL5vhW3sbDhbH9Cz0tuDiY8C3ctxq1tqvaCgkFb8cCA/edit?usp=sharing"",""มุกดาหาร!J491"")"),31.7)</f>
        <v>31.7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8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IFERROR(__xludf.DUMMYFUNCTION("IMPORTRANGE(""https://docs.google.com/spreadsheets/d/1XL5vhW3sbDhbH9Cz0tuDiY8C3ctxq1tqvaCgkFb8cCA/edit?usp=sharing"",""มุกดาหาร!L494"")"),8100)</f>
        <v>8100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9.8765432098765427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IFERROR(__xludf.DUMMYFUNCTION("IMPORTRANGE(""https://docs.google.com/spreadsheets/d/1XL5vhW3sbDhbH9Cz0tuDiY8C3ctxq1tqvaCgkFb8cCA/edit?usp=sharing"",""มุกดาหาร!L496"")"),8100)</f>
        <v>8100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9.8765432098765427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IFERROR(__xludf.DUMMYFUNCTION("IMPORTRANGE(""https://docs.google.com/spreadsheets/d/1XL5vhW3sbDhbH9Cz0tuDiY8C3ctxq1tqvaCgkFb8cCA/edit?usp=sharing"",""มุกดาหาร!J166"")"),0)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IFERROR(__xludf.DUMMYFUNCTION("IMPORTRANGE(""https://docs.google.com/spreadsheets/d/1XL5vhW3sbDhbH9Cz0tuDiY8C3ctxq1tqvaCgkFb8cCA/edit?usp=sharing"",""มุกดาหาร!J166"")"),0)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2">
        <f ca="1">IFERROR(__xludf.DUMMYFUNCTION("IMPORTRANGE(""https://docs.google.com/spreadsheets/d/1XL5vhW3sbDhbH9Cz0tuDiY8C3ctxq1tqvaCgkFb8cCA/edit?usp=sharing"",""มุกดาหาร!J523"")"),4943374.13)</f>
        <v>4943374.13</v>
      </c>
      <c r="K628" s="343">
        <f t="shared" ref="K628:K635" ca="1" si="129">IF(I628&gt;0,J628*100/I628,0)</f>
        <v>92.477936701785509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IFERROR(__xludf.DUMMYFUNCTION("IMPORTRANGE(""https://docs.google.com/spreadsheets/d/1XL5vhW3sbDhbH9Cz0tuDiY8C3ctxq1tqvaCgkFb8cCA/edit?usp=sharing"",""มุกดาหาร!I524"")"),488)</f>
        <v>488</v>
      </c>
      <c r="J629" s="342">
        <f ca="1">IFERROR(__xludf.DUMMYFUNCTION("IMPORTRANGE(""https://docs.google.com/spreadsheets/d/1XL5vhW3sbDhbH9Cz0tuDiY8C3ctxq1tqvaCgkFb8cCA/edit?usp=sharing"",""มุกดาหาร!J524"")"),445)</f>
        <v>445</v>
      </c>
      <c r="K629" s="343">
        <f t="shared" ca="1" si="129"/>
        <v>91.188524590163937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2">
        <f ca="1">IFERROR(__xludf.DUMMYFUNCTION("IMPORTRANGE(""https://docs.google.com/spreadsheets/d/1XL5vhW3sbDhbH9Cz0tuDiY8C3ctxq1tqvaCgkFb8cCA/edit?usp=sharing"",""มุกดาหาร!J525"")"),434765.08)</f>
        <v>434765.08</v>
      </c>
      <c r="K630" s="343">
        <f t="shared" ca="1" si="129"/>
        <v>11.871321565820814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IFERROR(__xludf.DUMMYFUNCTION("IMPORTRANGE(""https://docs.google.com/spreadsheets/d/1XL5vhW3sbDhbH9Cz0tuDiY8C3ctxq1tqvaCgkFb8cCA/edit?usp=sharing"",""มุกดาหาร!I526"")"),225)</f>
        <v>225</v>
      </c>
      <c r="J631" s="342">
        <f ca="1">IFERROR(__xludf.DUMMYFUNCTION("IMPORTRANGE(""https://docs.google.com/spreadsheets/d/1XL5vhW3sbDhbH9Cz0tuDiY8C3ctxq1tqvaCgkFb8cCA/edit?usp=sharing"",""มุกดาหาร!J526"")"),69)</f>
        <v>69</v>
      </c>
      <c r="K631" s="343">
        <f t="shared" ca="1" si="129"/>
        <v>30.666666666666668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IFERROR(__xludf.DUMMYFUNCTION("IMPORTRANGE(""https://docs.google.com/spreadsheets/d/1XL5vhW3sbDhbH9Cz0tuDiY8C3ctxq1tqvaCgkFb8cCA/edit?usp=sharing"",""มุกดาหาร!I527"")"),0)</f>
        <v>0</v>
      </c>
      <c r="J632" s="342">
        <f ca="1">IFERROR(__xludf.DUMMYFUNCTION("IMPORTRANGE(""https://docs.google.com/spreadsheets/d/1XL5vhW3sbDhbH9Cz0tuDiY8C3ctxq1tqvaCgkFb8cCA/edit?usp=sharing"",""มุกดาหาร!J527"")"),26013.5)</f>
        <v>26013.5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IFERROR(__xludf.DUMMYFUNCTION("IMPORTRANGE(""https://docs.google.com/spreadsheets/d/1XL5vhW3sbDhbH9Cz0tuDiY8C3ctxq1tqvaCgkFb8cCA/edit?usp=sharing"",""มุกดาหาร!I528"")"),0)</f>
        <v>0</v>
      </c>
      <c r="J633" s="342">
        <f ca="1">IFERROR(__xludf.DUMMYFUNCTION("IMPORTRANGE(""https://docs.google.com/spreadsheets/d/1XL5vhW3sbDhbH9Cz0tuDiY8C3ctxq1tqvaCgkFb8cCA/edit?usp=sharing"",""มุกดาหาร!J528"")"),4)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IFERROR(__xludf.DUMMYFUNCTION("IMPORTRANGE(""https://docs.google.com/spreadsheets/d/1XL5vhW3sbDhbH9Cz0tuDiY8C3ctxq1tqvaCgkFb8cCA/edit?usp=sharing"",""มุกดาหาร!I529"")"),7050000)</f>
        <v>7050000</v>
      </c>
      <c r="J634" s="342">
        <f ca="1">IFERROR(__xludf.DUMMYFUNCTION("IMPORTRANGE(""https://docs.google.com/spreadsheets/d/1XL5vhW3sbDhbH9Cz0tuDiY8C3ctxq1tqvaCgkFb8cCA/edit?usp=sharing"",""มุกดาหาร!J529"")"),6825000)</f>
        <v>6825000</v>
      </c>
      <c r="K634" s="343">
        <f t="shared" ca="1" si="129"/>
        <v>96.808510638297875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IFERROR(__xludf.DUMMYFUNCTION("IMPORTRANGE(""https://docs.google.com/spreadsheets/d/1XL5vhW3sbDhbH9Cz0tuDiY8C3ctxq1tqvaCgkFb8cCA/edit?usp=sharing"",""มุกดาหาร!I530"")"),165)</f>
        <v>165</v>
      </c>
      <c r="J635" s="505">
        <f ca="1">IFERROR(__xludf.DUMMYFUNCTION("IMPORTRANGE(""https://docs.google.com/spreadsheets/d/1XL5vhW3sbDhbH9Cz0tuDiY8C3ctxq1tqvaCgkFb8cCA/edit?usp=sharing"",""มุกดาหาร!J530"")"),194)</f>
        <v>194</v>
      </c>
      <c r="K635" s="487">
        <f t="shared" ca="1" si="129"/>
        <v>117.57575757575758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IFERROR(__xludf.DUMMYFUNCTION("IMPORTRANGE(""https://docs.google.com/spreadsheets/d/1XL5vhW3sbDhbH9Cz0tuDiY8C3ctxq1tqvaCgkFb8cCA/edit#gid=346597447"",""มุกดาหาร!J541"")"),0)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IFERROR(__xludf.DUMMYFUNCTION("IMPORTRANGE(""https://docs.google.com/spreadsheets/d/1XL5vhW3sbDhbH9Cz0tuDiY8C3ctxq1tqvaCgkFb8cCA/edit#gid=346597447"",""มุกดาหาร!J542"")"),0)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IFERROR(__xludf.DUMMYFUNCTION("IMPORTRANGE(""https://docs.google.com/spreadsheets/d/1XL5vhW3sbDhbH9Cz0tuDiY8C3ctxq1tqvaCgkFb8cCA/edit#gid=346597447"",""มุกดาหาร!I543"")"),0)</f>
        <v>0</v>
      </c>
      <c r="J648" s="586">
        <f ca="1">IFERROR(__xludf.DUMMYFUNCTION("IMPORTRANGE(""https://docs.google.com/spreadsheets/d/1XL5vhW3sbDhbH9Cz0tuDiY8C3ctxq1tqvaCgkFb8cCA/edit#gid=346597447"",""มุกดาหาร!J543"")"),0)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IFERROR(__xludf.DUMMYFUNCTION("IMPORTRANGE(""https://docs.google.com/spreadsheets/d/1XL5vhW3sbDhbH9Cz0tuDiY8C3ctxq1tqvaCgkFb8cCA/edit#gid=346597447"",""มุกดาหาร!L543"")"),0)</f>
        <v>0</v>
      </c>
      <c r="M648" s="571"/>
      <c r="N648" s="588">
        <f ca="1">IFERROR(__xludf.DUMMYFUNCTION("IMPORTRANGE(""https://docs.google.com/spreadsheets/d/1XL5vhW3sbDhbH9Cz0tuDiY8C3ctxq1tqvaCgkFb8cCA/edit#gid=346597447"",""มุกดาหาร!M543"")"),0)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IFERROR(__xludf.DUMMYFUNCTION("IMPORTRANGE(""https://docs.google.com/spreadsheets/d/1XL5vhW3sbDhbH9Cz0tuDiY8C3ctxq1tqvaCgkFb8cCA/edit#gid=346597447"",""มุกดาหาร!I544"")"),0)</f>
        <v>0</v>
      </c>
      <c r="J649" s="586">
        <f ca="1">IFERROR(__xludf.DUMMYFUNCTION("IMPORTRANGE(""https://docs.google.com/spreadsheets/d/1XL5vhW3sbDhbH9Cz0tuDiY8C3ctxq1tqvaCgkFb8cCA/edit#gid=346597447"",""มุกดาหาร!J544"")"),0)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IFERROR(__xludf.DUMMYFUNCTION("IMPORTRANGE(""https://docs.google.com/spreadsheets/d/1XL5vhW3sbDhbH9Cz0tuDiY8C3ctxq1tqvaCgkFb8cCA/edit#gid=346597447"",""มุกดาหาร!L544"")"),0)</f>
        <v>0</v>
      </c>
      <c r="M649" s="571"/>
      <c r="N649" s="588">
        <f ca="1">IFERROR(__xludf.DUMMYFUNCTION("IMPORTRANGE(""https://docs.google.com/spreadsheets/d/1XL5vhW3sbDhbH9Cz0tuDiY8C3ctxq1tqvaCgkFb8cCA/edit#gid=346597447"",""มุกดาหาร!M544"")"),0)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IFERROR(__xludf.DUMMYFUNCTION("IMPORTRANGE(""https://docs.google.com/spreadsheets/d/1XL5vhW3sbDhbH9Cz0tuDiY8C3ctxq1tqvaCgkFb8cCA/edit#gid=346597447"",""มุกดาหาร!I545"")"),0)</f>
        <v>0</v>
      </c>
      <c r="J650" s="586">
        <f ca="1">IFERROR(__xludf.DUMMYFUNCTION("IMPORTRANGE(""https://docs.google.com/spreadsheets/d/1XL5vhW3sbDhbH9Cz0tuDiY8C3ctxq1tqvaCgkFb8cCA/edit#gid=346597447"",""มุกดาหาร!J545"")"),0)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IFERROR(__xludf.DUMMYFUNCTION("IMPORTRANGE(""https://docs.google.com/spreadsheets/d/1XL5vhW3sbDhbH9Cz0tuDiY8C3ctxq1tqvaCgkFb8cCA/edit#gid=346597447"",""มุกดาหาร!L545"")"),0)</f>
        <v>0</v>
      </c>
      <c r="M650" s="571"/>
      <c r="N650" s="588">
        <f ca="1">IFERROR(__xludf.DUMMYFUNCTION("IMPORTRANGE(""https://docs.google.com/spreadsheets/d/1XL5vhW3sbDhbH9Cz0tuDiY8C3ctxq1tqvaCgkFb8cCA/edit#gid=346597447"",""มุกดาหาร!M545"")"),0)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IFERROR(__xludf.DUMMYFUNCTION("IMPORTRANGE(""https://docs.google.com/spreadsheets/d/1XL5vhW3sbDhbH9Cz0tuDiY8C3ctxq1tqvaCgkFb8cCA/edit#gid=346597447"",""มุกดาหาร!I546"")"),0)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IFERROR(__xludf.DUMMYFUNCTION("IMPORTRANGE(""https://docs.google.com/spreadsheets/d/1XL5vhW3sbDhbH9Cz0tuDiY8C3ctxq1tqvaCgkFb8cCA/edit#gid=346597447"",""มุกดาหาร!L546"")"),0)</f>
        <v>0</v>
      </c>
      <c r="M651" s="571"/>
      <c r="N651" s="588">
        <f ca="1">IFERROR(__xludf.DUMMYFUNCTION("IMPORTRANGE(""https://docs.google.com/spreadsheets/d/1XL5vhW3sbDhbH9Cz0tuDiY8C3ctxq1tqvaCgkFb8cCA/edit#gid=346597447"",""มุกดาหาร!M546"")"),0)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IFERROR(__xludf.DUMMYFUNCTION("IMPORTRANGE(""https://docs.google.com/spreadsheets/d/1XL5vhW3sbDhbH9Cz0tuDiY8C3ctxq1tqvaCgkFb8cCA/edit#gid=346597447"",""มุกดาหาร!J547"")"),0)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IFERROR(__xludf.DUMMYFUNCTION("IMPORTRANGE(""https://docs.google.com/spreadsheets/d/1XL5vhW3sbDhbH9Cz0tuDiY8C3ctxq1tqvaCgkFb8cCA/edit#gid=346597447"",""มุกดาหาร!J548"")"),0)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IFERROR(__xludf.DUMMYFUNCTION("IMPORTRANGE(""https://docs.google.com/spreadsheets/d/1XL5vhW3sbDhbH9Cz0tuDiY8C3ctxq1tqvaCgkFb8cCA/edit#gid=346597447"",""มุกดาหาร!J550"")"),0)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IFERROR(__xludf.DUMMYFUNCTION("IMPORTRANGE(""https://docs.google.com/spreadsheets/d/1XL5vhW3sbDhbH9Cz0tuDiY8C3ctxq1tqvaCgkFb8cCA/edit#gid=346597447"",""มุกดาหาร!J551"")"),0)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IFERROR(__xludf.DUMMYFUNCTION("IMPORTRANGE(""https://docs.google.com/spreadsheets/d/1XL5vhW3sbDhbH9Cz0tuDiY8C3ctxq1tqvaCgkFb8cCA/edit#gid=346597447"",""มุกดาหาร!J552"")"),0)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IFERROR(__xludf.DUMMYFUNCTION("IMPORTRANGE(""https://docs.google.com/spreadsheets/d/1XL5vhW3sbDhbH9Cz0tuDiY8C3ctxq1tqvaCgkFb8cCA/edit#gid=346597447"",""มุกดาหาร!J553"")"),0)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IFERROR(__xludf.DUMMYFUNCTION("IMPORTRANGE(""https://docs.google.com/spreadsheets/d/1XL5vhW3sbDhbH9Cz0tuDiY8C3ctxq1tqvaCgkFb8cCA/edit#gid=346597447"",""มุกดาหาร!J554"")"),0)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IFERROR(__xludf.DUMMYFUNCTION("IMPORTRANGE(""https://docs.google.com/spreadsheets/d/1XL5vhW3sbDhbH9Cz0tuDiY8C3ctxq1tqvaCgkFb8cCA/edit#gid=346597447"",""มุกดาหาร!J555"")"),0)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IFERROR(__xludf.DUMMYFUNCTION("IMPORTRANGE(""https://docs.google.com/spreadsheets/d/1XL5vhW3sbDhbH9Cz0tuDiY8C3ctxq1tqvaCgkFb8cCA/edit#gid=346597447"",""มุกดาหาร!J556"")"),0)</f>
        <v>0</v>
      </c>
      <c r="K661" s="587"/>
      <c r="L661" s="572">
        <f ca="1">IFERROR(__xludf.DUMMYFUNCTION("IMPORTRANGE(""https://docs.google.com/spreadsheets/d/1XL5vhW3sbDhbH9Cz0tuDiY8C3ctxq1tqvaCgkFb8cCA/edit#gid=346597447"",""มุกดาหาร!L556"")"),0)</f>
        <v>0</v>
      </c>
      <c r="M661" s="571"/>
      <c r="N661" s="588">
        <f ca="1">IFERROR(__xludf.DUMMYFUNCTION("IMPORTRANGE(""https://docs.google.com/spreadsheets/d/1XL5vhW3sbDhbH9Cz0tuDiY8C3ctxq1tqvaCgkFb8cCA/edit#gid=346597447"",""มุกดาหาร!M556"")"),0)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IFERROR(__xludf.DUMMYFUNCTION("IMPORTRANGE(""https://docs.google.com/spreadsheets/d/1XL5vhW3sbDhbH9Cz0tuDiY8C3ctxq1tqvaCgkFb8cCA/edit#gid=346597447"",""มุกดาหาร!J557"")"),0)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IFERROR(__xludf.DUMMYFUNCTION("IMPORTRANGE(""https://docs.google.com/spreadsheets/d/1XL5vhW3sbDhbH9Cz0tuDiY8C3ctxq1tqvaCgkFb8cCA/edit#gid=346597447"",""มุกดาหาร!I558"")"),0)</f>
        <v>0</v>
      </c>
      <c r="J663" s="586">
        <f ca="1">IFERROR(__xludf.DUMMYFUNCTION("IMPORTRANGE(""https://docs.google.com/spreadsheets/d/1XL5vhW3sbDhbH9Cz0tuDiY8C3ctxq1tqvaCgkFb8cCA/edit#gid=346597447"",""มุกดาหาร!J558"")"),0)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IFERROR(__xludf.DUMMYFUNCTION("IMPORTRANGE(""https://docs.google.com/spreadsheets/d/1XL5vhW3sbDhbH9Cz0tuDiY8C3ctxq1tqvaCgkFb8cCA/edit#gid=346597447"",""มุกดาหาร!I560"")"),0)</f>
        <v>0</v>
      </c>
      <c r="J665" s="586">
        <f ca="1">IFERROR(__xludf.DUMMYFUNCTION("IMPORTRANGE(""https://docs.google.com/spreadsheets/d/1XL5vhW3sbDhbH9Cz0tuDiY8C3ctxq1tqvaCgkFb8cCA/edit#gid=346597447"",""มุกดาหาร!J560"")"),0)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IFERROR(__xludf.DUMMYFUNCTION("IMPORTRANGE(""https://docs.google.com/spreadsheets/d/1XL5vhW3sbDhbH9Cz0tuDiY8C3ctxq1tqvaCgkFb8cCA/edit#gid=346597447"",""มุกดาหาร!L560"")"),0)</f>
        <v>0</v>
      </c>
      <c r="M665" s="571"/>
      <c r="N665" s="588">
        <f ca="1">IFERROR(__xludf.DUMMYFUNCTION("IMPORTRANGE(""https://docs.google.com/spreadsheets/d/1XL5vhW3sbDhbH9Cz0tuDiY8C3ctxq1tqvaCgkFb8cCA/edit#gid=346597447"",""มุกดาหาร!M560"")"),0)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IFERROR(__xludf.DUMMYFUNCTION("IMPORTRANGE(""https://docs.google.com/spreadsheets/d/1XL5vhW3sbDhbH9Cz0tuDiY8C3ctxq1tqvaCgkFb8cCA/edit#gid=346597447"",""มุกดาหาร!J561"")"),0)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IFERROR(__xludf.DUMMYFUNCTION("IMPORTRANGE(""https://docs.google.com/spreadsheets/d/1XL5vhW3sbDhbH9Cz0tuDiY8C3ctxq1tqvaCgkFb8cCA/edit#gid=346597447"",""มุกดาหาร!J562"")"),0)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IFERROR(__xludf.DUMMYFUNCTION("IMPORTRANGE(""https://docs.google.com/spreadsheets/d/1XL5vhW3sbDhbH9Cz0tuDiY8C3ctxq1tqvaCgkFb8cCA/edit#gid=346597447"",""มุกดาหาร!I563"")"),0)</f>
        <v>0</v>
      </c>
      <c r="J668" s="586">
        <f ca="1">IFERROR(__xludf.DUMMYFUNCTION("IMPORTRANGE(""https://docs.google.com/spreadsheets/d/1XL5vhW3sbDhbH9Cz0tuDiY8C3ctxq1tqvaCgkFb8cCA/edit#gid=346597447"",""มุกดาหาร!J563"")"),0)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IFERROR(__xludf.DUMMYFUNCTION("IMPORTRANGE(""https://docs.google.com/spreadsheets/d/1XL5vhW3sbDhbH9Cz0tuDiY8C3ctxq1tqvaCgkFb8cCA/edit#gid=346597447"",""มุกดาหาร!L563"")"),0)</f>
        <v>0</v>
      </c>
      <c r="M668" s="571"/>
      <c r="N668" s="588">
        <f ca="1">IFERROR(__xludf.DUMMYFUNCTION("IMPORTRANGE(""https://docs.google.com/spreadsheets/d/1XL5vhW3sbDhbH9Cz0tuDiY8C3ctxq1tqvaCgkFb8cCA/edit#gid=346597447"",""มุกดาหาร!M563"")"),0)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IFERROR(__xludf.DUMMYFUNCTION("IMPORTRANGE(""https://docs.google.com/spreadsheets/d/1XL5vhW3sbDhbH9Cz0tuDiY8C3ctxq1tqvaCgkFb8cCA/edit#gid=346597447"",""มุกดาหาร!J564"")"),0)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IFERROR(__xludf.DUMMYFUNCTION("IMPORTRANGE(""https://docs.google.com/spreadsheets/d/1XL5vhW3sbDhbH9Cz0tuDiY8C3ctxq1tqvaCgkFb8cCA/edit#gid=346597447"",""มุกดาหาร!J565"")"),0)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IFERROR(__xludf.DUMMYFUNCTION("IMPORTRANGE(""https://docs.google.com/spreadsheets/d/1XL5vhW3sbDhbH9Cz0tuDiY8C3ctxq1tqvaCgkFb8cCA/edit#gid=346597447"",""มุกดาหาร!I566"")"),0)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IFERROR(__xludf.DUMMYFUNCTION("IMPORTRANGE(""https://docs.google.com/spreadsheets/d/1XL5vhW3sbDhbH9Cz0tuDiY8C3ctxq1tqvaCgkFb8cCA/edit#gid=346597447"",""มุกดาหาร!L566"")"),0)</f>
        <v>0</v>
      </c>
      <c r="M671" s="571"/>
      <c r="N671" s="588">
        <f ca="1">IFERROR(__xludf.DUMMYFUNCTION("IMPORTRANGE(""https://docs.google.com/spreadsheets/d/1XL5vhW3sbDhbH9Cz0tuDiY8C3ctxq1tqvaCgkFb8cCA/edit#gid=346597447"",""มุกดาหาร!M566"")"),0)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IFERROR(__xludf.DUMMYFUNCTION("IMPORTRANGE(""https://docs.google.com/spreadsheets/d/1XL5vhW3sbDhbH9Cz0tuDiY8C3ctxq1tqvaCgkFb8cCA/edit#gid=346597447"",""มุกดาหาร!J567"")"),0)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IFERROR(__xludf.DUMMYFUNCTION("IMPORTRANGE(""https://docs.google.com/spreadsheets/d/1XL5vhW3sbDhbH9Cz0tuDiY8C3ctxq1tqvaCgkFb8cCA/edit#gid=346597447"",""มุกดาหาร!J568"")"),0)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IFERROR(__xludf.DUMMYFUNCTION("IMPORTRANGE(""https://docs.google.com/spreadsheets/d/1XL5vhW3sbDhbH9Cz0tuDiY8C3ctxq1tqvaCgkFb8cCA/edit#gid=346597447"",""มุกดาหาร!J569"")"),0)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IFERROR(__xludf.DUMMYFUNCTION("IMPORTRANGE(""https://docs.google.com/spreadsheets/d/1XL5vhW3sbDhbH9Cz0tuDiY8C3ctxq1tqvaCgkFb8cCA/edit#gid=346597447"",""มุกดาหาร!J570"")"),0)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IFERROR(__xludf.DUMMYFUNCTION("IMPORTRANGE(""https://docs.google.com/spreadsheets/d/1XL5vhW3sbDhbH9Cz0tuDiY8C3ctxq1tqvaCgkFb8cCA/edit#gid=346597447"",""มุกดาหาร!J571"")"),0)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IFERROR(__xludf.DUMMYFUNCTION("IMPORTRANGE(""https://docs.google.com/spreadsheets/d/1XL5vhW3sbDhbH9Cz0tuDiY8C3ctxq1tqvaCgkFb8cCA/edit#gid=346597447"",""มุกดาหาร!J572"")"),0)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6010490</v>
      </c>
      <c r="M8" s="23">
        <f t="shared" ca="1" si="0"/>
        <v>3679246</v>
      </c>
      <c r="N8" s="23">
        <f t="shared" ca="1" si="0"/>
        <v>5244730.1899999995</v>
      </c>
      <c r="O8" s="22">
        <f t="shared" ref="O8:O16" ca="1" si="1">IF(L8&gt;0,N8*100/L8,0)</f>
        <v>87.25961094686123</v>
      </c>
      <c r="P8" s="22">
        <f t="shared" ref="P8:P16" ca="1" si="2">IF(M8&gt;0,N8*100/M8,0)</f>
        <v>142.54904918018528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6010490</v>
      </c>
      <c r="M10" s="30">
        <f t="shared" ca="1" si="4"/>
        <v>3679246</v>
      </c>
      <c r="N10" s="30">
        <f t="shared" ca="1" si="4"/>
        <v>5244730.1899999995</v>
      </c>
      <c r="O10" s="29">
        <f t="shared" ca="1" si="1"/>
        <v>87.25961094686123</v>
      </c>
      <c r="P10" s="29">
        <f t="shared" ca="1" si="2"/>
        <v>142.54904918018528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5771090</v>
      </c>
      <c r="M12" s="38">
        <f t="shared" ca="1" si="6"/>
        <v>3439846</v>
      </c>
      <c r="N12" s="38">
        <f t="shared" ca="1" si="6"/>
        <v>5005330.1899999995</v>
      </c>
      <c r="O12" s="38">
        <f t="shared" ca="1" si="1"/>
        <v>86.73110608221323</v>
      </c>
      <c r="P12" s="38">
        <f t="shared" ca="1" si="2"/>
        <v>145.51029871686114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3698290</v>
      </c>
      <c r="M14" s="38">
        <f t="shared" si="8"/>
        <v>0</v>
      </c>
      <c r="N14" s="38">
        <f t="shared" ca="1" si="8"/>
        <v>1892872.5</v>
      </c>
      <c r="O14" s="38">
        <f t="shared" ca="1" si="1"/>
        <v>51.182370771356489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3609320</v>
      </c>
      <c r="M18" s="23">
        <f t="shared" ca="1" si="11"/>
        <v>3679246</v>
      </c>
      <c r="N18" s="23">
        <f t="shared" ca="1" si="11"/>
        <v>3351857.69</v>
      </c>
      <c r="O18" s="22">
        <f t="shared" ref="O18:O20" ca="1" si="12">IF(L18&gt;0,N18*100/L18,0)</f>
        <v>92.866736393558895</v>
      </c>
      <c r="P18" s="22">
        <f t="shared" ref="P18:P26" ca="1" si="13">IF(M18&gt;0,N18*100/M18,0)</f>
        <v>91.101755359657929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3609320</v>
      </c>
      <c r="M20" s="30">
        <f t="shared" ca="1" si="15"/>
        <v>3679246</v>
      </c>
      <c r="N20" s="30">
        <f t="shared" ca="1" si="15"/>
        <v>3351857.69</v>
      </c>
      <c r="O20" s="29">
        <f t="shared" ca="1" si="12"/>
        <v>92.866736393558895</v>
      </c>
      <c r="P20" s="29">
        <f t="shared" ca="1" si="13"/>
        <v>91.101755359657929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3369920</v>
      </c>
      <c r="M22" s="41">
        <f t="shared" ca="1" si="18"/>
        <v>3439846</v>
      </c>
      <c r="N22" s="38">
        <f t="shared" ca="1" si="18"/>
        <v>3112457.69</v>
      </c>
      <c r="O22" s="38">
        <f t="shared" ca="1" si="17"/>
        <v>92.359987477447532</v>
      </c>
      <c r="P22" s="38">
        <f t="shared" ca="1" si="13"/>
        <v>90.48247188972995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1297120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2401170</v>
      </c>
      <c r="M28" s="23">
        <f t="shared" si="23"/>
        <v>0</v>
      </c>
      <c r="N28" s="23">
        <f t="shared" ca="1" si="23"/>
        <v>1892872.5</v>
      </c>
      <c r="O28" s="22">
        <f t="shared" ref="O28:O30" ca="1" si="24">IF(L28&gt;0,N28*100/L28,0)</f>
        <v>78.831257262084733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2401170</v>
      </c>
      <c r="M30" s="30">
        <f t="shared" si="27"/>
        <v>0</v>
      </c>
      <c r="N30" s="30">
        <f t="shared" ca="1" si="27"/>
        <v>1892872.5</v>
      </c>
      <c r="O30" s="29">
        <f t="shared" ca="1" si="24"/>
        <v>78.831257262084733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2401170</v>
      </c>
      <c r="M32" s="38">
        <f t="shared" si="30"/>
        <v>0</v>
      </c>
      <c r="N32" s="38">
        <f t="shared" ca="1" si="30"/>
        <v>1892872.5</v>
      </c>
      <c r="O32" s="38">
        <f t="shared" ca="1" si="29"/>
        <v>78.831257262084733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2401170</v>
      </c>
      <c r="M34" s="38">
        <f t="shared" si="32"/>
        <v>0</v>
      </c>
      <c r="N34" s="38">
        <f t="shared" ca="1" si="32"/>
        <v>1892872.5</v>
      </c>
      <c r="O34" s="38">
        <f t="shared" ca="1" si="29"/>
        <v>78.831257262084733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3609320</v>
      </c>
      <c r="M37" s="54">
        <f t="shared" ca="1" si="33"/>
        <v>3679246</v>
      </c>
      <c r="N37" s="54">
        <f t="shared" ca="1" si="33"/>
        <v>3351857.69</v>
      </c>
      <c r="O37" s="55">
        <f t="shared" ca="1" si="29"/>
        <v>92.866736393558895</v>
      </c>
      <c r="P37" s="55">
        <f t="shared" ca="1" si="25"/>
        <v>91.101755359657929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844100</v>
      </c>
      <c r="N41" s="78">
        <f t="shared" ca="1" si="34"/>
        <v>745872.69</v>
      </c>
      <c r="O41" s="77">
        <f t="shared" ref="O41:O43" ca="1" si="35">IF(L41&gt;0,N41*100/L41,0)</f>
        <v>88.363071910911032</v>
      </c>
      <c r="P41" s="77">
        <f t="shared" ref="P41:P43" ca="1" si="36">IF(M41&gt;0,N41*100/M41,0)</f>
        <v>88.363071910911032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844100</v>
      </c>
      <c r="N43" s="78">
        <f t="shared" ca="1" si="38"/>
        <v>745872.69</v>
      </c>
      <c r="O43" s="77">
        <f t="shared" ca="1" si="35"/>
        <v>88.363071910911032</v>
      </c>
      <c r="P43" s="77">
        <f t="shared" ca="1" si="36"/>
        <v>88.363071910911032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3">
        <f ca="1">IFERROR(__xludf.DUMMYFUNCTION("IMPORTRANGE(""https://docs.google.com/spreadsheets/d/1Yj_ptqi66GCucihVvJfMjLAmec39IyEx_6qawtMGysU/edit?usp=sharing"",""สบก!Q47"")"),844100)</f>
        <v>844100</v>
      </c>
      <c r="N45" s="623">
        <f ca="1">IFERROR(__xludf.DUMMYFUNCTION("IMPORTRANGE(""https://docs.google.com/spreadsheets/d/1Yj_ptqi66GCucihVvJfMjLAmec39IyEx_6qawtMGysU/edit?usp=sharing"",""สบก!R47"")"),745872.69)</f>
        <v>745872.69</v>
      </c>
      <c r="O45" s="624">
        <f ca="1">IF(L45&gt;0,N45*100/L45,0)</f>
        <v>88.363071910911032</v>
      </c>
      <c r="P45" s="624">
        <f ca="1">IF(M45&gt;0,N45*100/M45,0)</f>
        <v>88.363071910911032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IFERROR(__xludf.DUMMYFUNCTION("IMPORTRANGE(""https://docs.google.com/spreadsheets/d/1Yj_ptqi66GCucihVvJfMjLAmec39IyEx_6qawtMGysU/edit?usp=sharing"",""สบก!M47"")"),844100)</f>
        <v>844100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IFERROR(__xludf.DUMMYFUNCTION("IMPORTRANGE(""https://docs.google.com/spreadsheets/d/1Yj_ptqi66GCucihVvJfMjLAmec39IyEx_6qawtMGysU/edit?usp=sharing"",""สบก!N47"")"),0)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IFERROR(__xludf.DUMMYFUNCTION("IMPORTRANGE(""https://docs.google.com/spreadsheets/d/1Yj_ptqi66GCucihVvJfMjLAmec39IyEx_6qawtMGysU/edit?usp=sharing"",""สบก!O47"")"),0)</f>
        <v>0</v>
      </c>
      <c r="M49" s="626"/>
      <c r="N49" s="623">
        <f ca="1">IFERROR(__xludf.DUMMYFUNCTION("IMPORTRANGE(""https://docs.google.com/spreadsheets/d/1Yj_ptqi66GCucihVvJfMjLAmec39IyEx_6qawtMGysU/edit?usp=sharing"",""สบก!S47"")"),0)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643806</v>
      </c>
      <c r="N53" s="121">
        <f t="shared" ca="1" si="39"/>
        <v>530625</v>
      </c>
      <c r="O53" s="120">
        <f t="shared" ref="O53:O55" ca="1" si="40">IF(L53&gt;0,N53*100/L53,0)</f>
        <v>84.226190476190482</v>
      </c>
      <c r="P53" s="120">
        <f t="shared" ref="P53:P55" ca="1" si="41">IF(M53&gt;0,N53*100/M53,0)</f>
        <v>82.42001472493267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643806</v>
      </c>
      <c r="N55" s="121">
        <f t="shared" ca="1" si="43"/>
        <v>530625</v>
      </c>
      <c r="O55" s="120">
        <f t="shared" ca="1" si="40"/>
        <v>84.226190476190482</v>
      </c>
      <c r="P55" s="120">
        <f t="shared" ca="1" si="41"/>
        <v>82.42001472493267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3">
        <f ca="1">IFERROR(__xludf.DUMMYFUNCTION("IMPORTRANGE(""https://docs.google.com/spreadsheets/d/1Yj_ptqi66GCucihVvJfMjLAmec39IyEx_6qawtMGysU/edit?usp=sharing"",""สบก!Z47"")"),643806)</f>
        <v>643806</v>
      </c>
      <c r="N57" s="623">
        <f ca="1">IFERROR(__xludf.DUMMYFUNCTION("IMPORTRANGE(""https://docs.google.com/spreadsheets/d/1Yj_ptqi66GCucihVvJfMjLAmec39IyEx_6qawtMGysU/edit?usp=sharing"",""สบก!AA47"")"),530625)</f>
        <v>530625</v>
      </c>
      <c r="O57" s="624">
        <f ca="1">IF(L57&gt;0,N57*100/L57,0)</f>
        <v>84.226190476190482</v>
      </c>
      <c r="P57" s="624">
        <f ca="1">IF(M57&gt;0,N57*100/M57,0)</f>
        <v>82.42001472493267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IFERROR(__xludf.DUMMYFUNCTION("IMPORTRANGE(""https://docs.google.com/spreadsheets/d/1Yj_ptqi66GCucihVvJfMjLAmec39IyEx_6qawtMGysU/edit?usp=sharing"",""สบก!V47"")"),630000)</f>
        <v>630000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IFERROR(__xludf.DUMMYFUNCTION("IMPORTRANGE(""https://docs.google.com/spreadsheets/d/1Yj_ptqi66GCucihVvJfMjLAmec39IyEx_6qawtMGysU/edit?usp=sharing"",""สบก!W47"")"),0)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IFERROR(__xludf.DUMMYFUNCTION("IMPORTRANGE(""https://docs.google.com/spreadsheets/d/1Yj_ptqi66GCucihVvJfMjLAmec39IyEx_6qawtMGysU/edit?usp=sharing"",""สบก!X47"")"),0)</f>
        <v>0</v>
      </c>
      <c r="M61" s="626"/>
      <c r="N61" s="623">
        <f ca="1">IFERROR(__xludf.DUMMYFUNCTION("IMPORTRANGE(""https://docs.google.com/spreadsheets/d/1Yj_ptqi66GCucihVvJfMjLAmec39IyEx_6qawtMGysU/edit?usp=sharing"",""สบก!AB47"")"),0)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752120</v>
      </c>
      <c r="N66" s="152">
        <f t="shared" ca="1" si="45"/>
        <v>714267</v>
      </c>
      <c r="O66" s="151">
        <f t="shared" ref="O66:O68" ca="1" si="46">IF(L66&gt;0,N66*100/L66,0)</f>
        <v>95.810462776659961</v>
      </c>
      <c r="P66" s="151">
        <f t="shared" ref="P66:P68" ca="1" si="47">IF(M66&gt;0,N66*100/M66,0)</f>
        <v>94.967159495825129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752120</v>
      </c>
      <c r="N68" s="157">
        <f t="shared" ca="1" si="49"/>
        <v>714267</v>
      </c>
      <c r="O68" s="156">
        <f t="shared" ca="1" si="46"/>
        <v>95.810462776659961</v>
      </c>
      <c r="P68" s="156">
        <f t="shared" ca="1" si="47"/>
        <v>94.967159495825129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745500</v>
      </c>
      <c r="M70" s="627">
        <f ca="1">IFERROR(__xludf.DUMMYFUNCTION("IMPORTRANGE(""https://docs.google.com/spreadsheets/d/1Yj_ptqi66GCucihVvJfMjLAmec39IyEx_6qawtMGysU/edit?usp=sharing"",""สบก!AI47"")"),752120)</f>
        <v>752120</v>
      </c>
      <c r="N70" s="628">
        <f ca="1">IFERROR(__xludf.DUMMYFUNCTION("IMPORTRANGE(""https://docs.google.com/spreadsheets/d/1Yj_ptqi66GCucihVvJfMjLAmec39IyEx_6qawtMGysU/edit?usp=sharing"",""สบก!AJ47"")"),714267)</f>
        <v>714267</v>
      </c>
      <c r="O70" s="169">
        <f ca="1">IF(L70&gt;0,N70*100/L70,0)</f>
        <v>95.810462776659961</v>
      </c>
      <c r="P70" s="169">
        <f ca="1">IF(M70&gt;0,N70*100/M70,0)</f>
        <v>94.967159495825129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IFERROR(__xludf.DUMMYFUNCTION("IMPORTRANGE(""https://docs.google.com/spreadsheets/d/1Yj_ptqi66GCucihVvJfMjLAmec39IyEx_6qawtMGysU/edit?usp=sharing"",""สบก!AF47"")"),424000)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IFERROR(__xludf.DUMMYFUNCTION("IMPORTRANGE(""https://docs.google.com/spreadsheets/d/1Yj_ptqi66GCucihVvJfMjLAmec39IyEx_6qawtMGysU/edit?usp=sharing"",""สบก!AG47"")"),0)</f>
        <v>0</v>
      </c>
      <c r="M74" s="626"/>
      <c r="N74" s="623">
        <f ca="1">IFERROR(__xludf.DUMMYFUNCTION("IMPORTRANGE(""https://docs.google.com/spreadsheets/d/1Yj_ptqi66GCucihVvJfMjLAmec39IyEx_6qawtMGysU/edit?usp=sharing"",""สบก!AK47"")"),0)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IFERROR(__xludf.DUMMYFUNCTION("IMPORTRANGE(""https://docs.google.com/spreadsheets/d/1XL5vhW3sbDhbH9Cz0tuDiY8C3ctxq1tqvaCgkFb8cCA/edit?usp=sharing"",""ยโสธร!I28"")"),1)</f>
        <v>1</v>
      </c>
      <c r="J88" s="204">
        <f ca="1">IFERROR(__xludf.DUMMYFUNCTION("IMPORTRANGE(""https://docs.google.com/spreadsheets/d/1XL5vhW3sbDhbH9Cz0tuDiY8C3ctxq1tqvaCgkFb8cCA/edit?usp=sharing"",""ยโสธร!J28"")"),1)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191180</v>
      </c>
      <c r="O94" s="151">
        <f t="shared" ref="O94:O96" ca="1" si="53">IF(L94&gt;0,N94*100/L94,0)</f>
        <v>89.128205128205124</v>
      </c>
      <c r="P94" s="151">
        <f t="shared" ref="P94:P96" ca="1" si="54">IF(M94&gt;0,N94*100/M94,0)</f>
        <v>89.128205128205124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191180</v>
      </c>
      <c r="O96" s="156">
        <f t="shared" ca="1" si="53"/>
        <v>89.128205128205124</v>
      </c>
      <c r="P96" s="156">
        <f t="shared" ca="1" si="54"/>
        <v>89.128205128205124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IFERROR(__xludf.DUMMYFUNCTION("IMPORTRANGE(""https://docs.google.com/spreadsheets/d/1Yj_ptqi66GCucihVvJfMjLAmec39IyEx_6qawtMGysU/edit?usp=sharing"",""สบก!AR47"")"),122100)</f>
        <v>122100</v>
      </c>
      <c r="N98" s="628">
        <f ca="1">IFERROR(__xludf.DUMMYFUNCTION("IMPORTRANGE(""https://docs.google.com/spreadsheets/d/1Yj_ptqi66GCucihVvJfMjLAmec39IyEx_6qawtMGysU/edit?usp=sharing"",""สบก!AS47"")"),98780)</f>
        <v>98780</v>
      </c>
      <c r="O98" s="169">
        <f ca="1">IF(L98&gt;0,N98*100/L98,0)</f>
        <v>80.900900900900908</v>
      </c>
      <c r="P98" s="169">
        <f ca="1">IF(M98&gt;0,N98*100/M98,0)</f>
        <v>80.900900900900908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IFERROR(__xludf.DUMMYFUNCTION("IMPORTRANGE(""https://docs.google.com/spreadsheets/d/1Yj_ptqi66GCucihVvJfMjLAmec39IyEx_6qawtMGysU/edit?usp=sharing"",""สบก!AP47"")"),92400)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IFERROR(__xludf.DUMMYFUNCTION("IMPORTRANGE(""https://docs.google.com/spreadsheets/d/1Yj_ptqi66GCucihVvJfMjLAmec39IyEx_6qawtMGysU/edit?usp=sharing"",""สบก!AT47"")"),92400)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82440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82440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IFERROR(__xludf.DUMMYFUNCTION("IMPORTRANGE(""https://docs.google.com/spreadsheets/d/1Yj_ptqi66GCucihVvJfMjLAmec39IyEx_6qawtMGysU/edit?usp=sharing"",""สบก!BA47"")"),82440)</f>
        <v>82440</v>
      </c>
      <c r="N122" s="628">
        <f ca="1">IFERROR(__xludf.DUMMYFUNCTION("IMPORTRANGE(""https://docs.google.com/spreadsheets/d/1Yj_ptqi66GCucihVvJfMjLAmec39IyEx_6qawtMGysU/edit?usp=sharing"",""สบก!BB47"")"),82440)</f>
        <v>82440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IFERROR(__xludf.DUMMYFUNCTION("IMPORTRANGE(""https://docs.google.com/spreadsheets/d/1Yj_ptqi66GCucihVvJfMjLAmec39IyEx_6qawtMGysU/edit?usp=sharing"",""สบก!AX47"")"),82440)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IFERROR(__xludf.DUMMYFUNCTION("IMPORTRANGE(""https://docs.google.com/spreadsheets/d/1Yj_ptqi66GCucihVvJfMjLAmec39IyEx_6qawtMGysU/edit?usp=sharing"",""สบก!AY47"")"),0)</f>
        <v>0</v>
      </c>
      <c r="M126" s="626"/>
      <c r="N126" s="623">
        <f ca="1">IFERROR(__xludf.DUMMYFUNCTION("IMPORTRANGE(""https://docs.google.com/spreadsheets/d/1Yj_ptqi66GCucihVvJfMjLAmec39IyEx_6qawtMGysU/edit?usp=sharing"",""สบก!BC47"")"),0)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87000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87000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IFERROR(__xludf.DUMMYFUNCTION("IMPORTRANGE(""https://docs.google.com/spreadsheets/d/1Yj_ptqi66GCucihVvJfMjLAmec39IyEx_6qawtMGysU/edit?usp=sharing"",""สบก!BJ47"")"),87000)</f>
        <v>87000</v>
      </c>
      <c r="N144" s="628">
        <f ca="1">IFERROR(__xludf.DUMMYFUNCTION("IMPORTRANGE(""https://docs.google.com/spreadsheets/d/1Yj_ptqi66GCucihVvJfMjLAmec39IyEx_6qawtMGysU/edit?usp=sharing"",""สบก!BK47"")"),87000)</f>
        <v>87000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IFERROR(__xludf.DUMMYFUNCTION("IMPORTRANGE(""https://docs.google.com/spreadsheets/d/1Yj_ptqi66GCucihVvJfMjLAmec39IyEx_6qawtMGysU/edit?usp=sharing"",""สบก!BG47"")"),87000)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IFERROR(__xludf.DUMMYFUNCTION("IMPORTRANGE(""https://docs.google.com/spreadsheets/d/1Yj_ptqi66GCucihVvJfMjLAmec39IyEx_6qawtMGysU/edit?usp=sharing"",""สบก!BH47"")"),0)</f>
        <v>0</v>
      </c>
      <c r="M148" s="626"/>
      <c r="N148" s="623">
        <f ca="1">IFERROR(__xludf.DUMMYFUNCTION("IMPORTRANGE(""https://docs.google.com/spreadsheets/d/1Yj_ptqi66GCucihVvJfMjLAmec39IyEx_6qawtMGysU/edit?usp=sharing"",""สบก!BL47"")"),0)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IFERROR(__xludf.DUMMYFUNCTION("IMPORTRANGE(""https://docs.google.com/spreadsheets/d/1XL5vhW3sbDhbH9Cz0tuDiY8C3ctxq1tqvaCgkFb8cCA/edit?usp=sharing"",""ยโสธร!J84"")"),152)</f>
        <v>152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IFERROR(__xludf.DUMMYFUNCTION("IMPORTRANGE(""https://docs.google.com/spreadsheets/d/1XL5vhW3sbDhbH9Cz0tuDiY8C3ctxq1tqvaCgkFb8cCA/edit?usp=sharing"",""ยโสธร!J85"")"),152)</f>
        <v>152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IFERROR(__xludf.DUMMYFUNCTION("IMPORTRANGE(""https://docs.google.com/spreadsheets/d/1XL5vhW3sbDhbH9Cz0tuDiY8C3ctxq1tqvaCgkFb8cCA/edit?usp=sharing"",""ยโสธร!J88"")"),1)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IFERROR(__xludf.DUMMYFUNCTION("IMPORTRANGE(""https://docs.google.com/spreadsheets/d/1XL5vhW3sbDhbH9Cz0tuDiY8C3ctxq1tqvaCgkFb8cCA/edit?usp=sharing"",""ยโสธร!I89"")"),3)</f>
        <v>3</v>
      </c>
      <c r="J164" s="285">
        <f ca="1">IFERROR(__xludf.DUMMYFUNCTION("IMPORTRANGE(""https://docs.google.com/spreadsheets/d/1XL5vhW3sbDhbH9Cz0tuDiY8C3ctxq1tqvaCgkFb8cCA/edit?usp=sharing"",""ยโสธร!J89"")"),3)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IFERROR(__xludf.DUMMYFUNCTION("IMPORTRANGE(""https://docs.google.com/spreadsheets/d/1XL5vhW3sbDhbH9Cz0tuDiY8C3ctxq1tqvaCgkFb8cCA/edit?usp=sharing"",""ยโสธร!J100"")"),1)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IFERROR(__xludf.DUMMYFUNCTION("IMPORTRANGE(""https://docs.google.com/spreadsheets/d/1XL5vhW3sbDhbH9Cz0tuDiY8C3ctxq1tqvaCgkFb8cCA/edit?usp=sharing"",""ยโสธร!I101"")"),1)</f>
        <v>1</v>
      </c>
      <c r="J176" s="285">
        <f ca="1">IFERROR(__xludf.DUMMYFUNCTION("IMPORTRANGE(""https://docs.google.com/spreadsheets/d/1XL5vhW3sbDhbH9Cz0tuDiY8C3ctxq1tqvaCgkFb8cCA/edit?usp=sharing"",""ยโสธร!J101"")"),1)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IFERROR(__xludf.DUMMYFUNCTION("IMPORTRANGE(""https://docs.google.com/spreadsheets/d/1XL5vhW3sbDhbH9Cz0tuDiY8C3ctxq1tqvaCgkFb8cCA/edit?usp=sharing"",""ยโสธร!J113"")"),1)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IFERROR(__xludf.DUMMYFUNCTION("IMPORTRANGE(""https://docs.google.com/spreadsheets/d/1XL5vhW3sbDhbH9Cz0tuDiY8C3ctxq1tqvaCgkFb8cCA/edit?usp=sharing"",""ยโสธร!I114"")"),30000)</f>
        <v>30000</v>
      </c>
      <c r="J189" s="285">
        <f ca="1">IFERROR(__xludf.DUMMYFUNCTION("IMPORTRANGE(""https://docs.google.com/spreadsheets/d/1XL5vhW3sbDhbH9Cz0tuDiY8C3ctxq1tqvaCgkFb8cCA/edit?usp=sharing"",""ยโสธร!J114"")"),30000)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IFERROR(__xludf.DUMMYFUNCTION("IMPORTRANGE(""https://docs.google.com/spreadsheets/d/1XL5vhW3sbDhbH9Cz0tuDiY8C3ctxq1tqvaCgkFb8cCA/edit?usp=sharing"",""ยโสธร!J128"")"),1)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IFERROR(__xludf.DUMMYFUNCTION("IMPORTRANGE(""https://docs.google.com/spreadsheets/d/1XL5vhW3sbDhbH9Cz0tuDiY8C3ctxq1tqvaCgkFb8cCA/edit?usp=sharing"",""ยโสธร!I129"")"),0)</f>
        <v>0</v>
      </c>
      <c r="J204" s="285">
        <f ca="1">IFERROR(__xludf.DUMMYFUNCTION("IMPORTRANGE(""https://docs.google.com/spreadsheets/d/1XL5vhW3sbDhbH9Cz0tuDiY8C3ctxq1tqvaCgkFb8cCA/edit?usp=sharing"",""ยโสธร!J129"")"),0)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IFERROR(__xludf.DUMMYFUNCTION("IMPORTRANGE(""https://docs.google.com/spreadsheets/d/1Yj_ptqi66GCucihVvJfMjLAmec39IyEx_6qawtMGysU/edit?usp=sharing"",""สบก!BS47"")"),20210)</f>
        <v>20210</v>
      </c>
      <c r="N224" s="628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IFERROR(__xludf.DUMMYFUNCTION("IMPORTRANGE(""https://docs.google.com/spreadsheets/d/1Yj_ptqi66GCucihVvJfMjLAmec39IyEx_6qawtMGysU/edit?usp=sharing"",""สบก!BQ47"")"),0)</f>
        <v>0</v>
      </c>
      <c r="M228" s="626"/>
      <c r="N228" s="623">
        <f ca="1">IFERROR(__xludf.DUMMYFUNCTION("IMPORTRANGE(""https://docs.google.com/spreadsheets/d/1Yj_ptqi66GCucihVvJfMjLAmec39IyEx_6qawtMGysU/edit?usp=sharing"",""สบก!BU47"")"),0)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IFERROR(__xludf.DUMMYFUNCTION("IMPORTRANGE(""https://docs.google.com/spreadsheets/d/1XL5vhW3sbDhbH9Cz0tuDiY8C3ctxq1tqvaCgkFb8cCA/edit?usp=sharing"",""ยโสธร!I169"")"),0)</f>
        <v>0</v>
      </c>
      <c r="J249" s="317">
        <f ca="1">IFERROR(__xludf.DUMMYFUNCTION("IMPORTRANGE(""https://docs.google.com/spreadsheets/d/1XL5vhW3sbDhbH9Cz0tuDiY8C3ctxq1tqvaCgkFb8cCA/edit?usp=sharing"",""ยโสธร!J169"")"),0)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IFERROR(__xludf.DUMMYFUNCTION("IMPORTRANGE(""https://docs.google.com/spreadsheets/d/1Yj_ptqi66GCucihVvJfMjLAmec39IyEx_6qawtMGysU/edit?usp=sharing"",""สบก!CB47"")"),0)</f>
        <v>0</v>
      </c>
      <c r="N254" s="628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IFERROR(__xludf.DUMMYFUNCTION("IMPORTRANGE(""https://docs.google.com/spreadsheets/d/1Yj_ptqi66GCucihVvJfMjLAmec39IyEx_6qawtMGysU/edit?usp=sharing"",""สบก!BZ47"")"),0)</f>
        <v>0</v>
      </c>
      <c r="M258" s="626"/>
      <c r="N258" s="623">
        <f ca="1">IFERROR(__xludf.DUMMYFUNCTION("IMPORTRANGE(""https://docs.google.com/spreadsheets/d/1Yj_ptqi66GCucihVvJfMjLAmec39IyEx_6qawtMGysU/edit?usp=sharing"",""สบก!CD47"")"),0)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IFERROR(__xludf.DUMMYFUNCTION("IMPORTRANGE(""https://docs.google.com/spreadsheets/d/1XL5vhW3sbDhbH9Cz0tuDiY8C3ctxq1tqvaCgkFb8cCA/edit?usp=sharing"",""ยโสธร!J184"")"),0)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IFERROR(__xludf.DUMMYFUNCTION("IMPORTRANGE(""https://docs.google.com/spreadsheets/d/1XL5vhW3sbDhbH9Cz0tuDiY8C3ctxq1tqvaCgkFb8cCA/edit?usp=sharing"",""ยโสธร!I185"")"),15)</f>
        <v>15</v>
      </c>
      <c r="J270" s="317">
        <f ca="1">IFERROR(__xludf.DUMMYFUNCTION("IMPORTRANGE(""https://docs.google.com/spreadsheets/d/1XL5vhW3sbDhbH9Cz0tuDiY8C3ctxq1tqvaCgkFb8cCA/edit?usp=sharing"",""ยโสธร!J185"")"),15)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IFERROR(__xludf.DUMMYFUNCTION("IMPORTRANGE(""https://docs.google.com/spreadsheets/d/1Yj_ptqi66GCucihVvJfMjLAmec39IyEx_6qawtMGysU/edit?usp=sharing"",""สบก!CK47"")"),55200)</f>
        <v>55200</v>
      </c>
      <c r="N275" s="628">
        <f ca="1">IFERROR(__xludf.DUMMYFUNCTION("IMPORTRANGE(""https://docs.google.com/spreadsheets/d/1Yj_ptqi66GCucihVvJfMjLAmec39IyEx_6qawtMGysU/edit?usp=sharing"",""สบก!CL47"")"),55200)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IFERROR(__xludf.DUMMYFUNCTION("IMPORTRANGE(""https://docs.google.com/spreadsheets/d/1Yj_ptqi66GCucihVvJfMjLAmec39IyEx_6qawtMGysU/edit?usp=sharing"",""สบก!CI47"")"),0)</f>
        <v>0</v>
      </c>
      <c r="M279" s="626"/>
      <c r="N279" s="623">
        <f ca="1">IFERROR(__xludf.DUMMYFUNCTION("IMPORTRANGE(""https://docs.google.com/spreadsheets/d/1Yj_ptqi66GCucihVvJfMjLAmec39IyEx_6qawtMGysU/edit?usp=sharing"",""สบก!CM47"")"),0)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IFERROR(__xludf.DUMMYFUNCTION("IMPORTRANGE(""https://docs.google.com/spreadsheets/d/1XL5vhW3sbDhbH9Cz0tuDiY8C3ctxq1tqvaCgkFb8cCA/edit?usp=sharing"",""ยโสธร!J197"")"),0)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IFERROR(__xludf.DUMMYFUNCTION("IMPORTRANGE(""https://docs.google.com/spreadsheets/d/1XL5vhW3sbDhbH9Cz0tuDiY8C3ctxq1tqvaCgkFb8cCA/edit?usp=sharing"",""ยโสธร!I199"")"),0)</f>
        <v>0</v>
      </c>
      <c r="J289" s="317">
        <f ca="1">IFERROR(__xludf.DUMMYFUNCTION("IMPORTRANGE(""https://docs.google.com/spreadsheets/d/1XL5vhW3sbDhbH9Cz0tuDiY8C3ctxq1tqvaCgkFb8cCA/edit?usp=sharing"",""ยโสธร!J199"")"),0)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IFERROR(__xludf.DUMMYFUNCTION("IMPORTRANGE(""https://docs.google.com/spreadsheets/d/1Yj_ptqi66GCucihVvJfMjLAmec39IyEx_6qawtMGysU/edit?usp=sharing"",""สบก!CT47"")"),0)</f>
        <v>0</v>
      </c>
      <c r="N294" s="628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IFERROR(__xludf.DUMMYFUNCTION("IMPORTRANGE(""https://docs.google.com/spreadsheets/d/1Yj_ptqi66GCucihVvJfMjLAmec39IyEx_6qawtMGysU/edit?usp=sharing"",""สบก!CR47"")"),0)</f>
        <v>0</v>
      </c>
      <c r="M298" s="626"/>
      <c r="N298" s="623">
        <f ca="1">IFERROR(__xludf.DUMMYFUNCTION("IMPORTRANGE(""https://docs.google.com/spreadsheets/d/1Yj_ptqi66GCucihVvJfMjLAmec39IyEx_6qawtMGysU/edit?usp=sharing"",""สบก!CV47"")"),0)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IFERROR(__xludf.DUMMYFUNCTION("IMPORTRANGE(""https://docs.google.com/spreadsheets/d/1XL5vhW3sbDhbH9Cz0tuDiY8C3ctxq1tqvaCgkFb8cCA/edit?usp=sharing"",""ยโสธร!I214"")"),0)</f>
        <v>0</v>
      </c>
      <c r="J309" s="334">
        <f ca="1">IFERROR(__xludf.DUMMYFUNCTION("IMPORTRANGE(""https://docs.google.com/spreadsheets/d/1XL5vhW3sbDhbH9Cz0tuDiY8C3ctxq1tqvaCgkFb8cCA/edit?usp=sharing"",""ยโสธร!J214"")"),0)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IFERROR(__xludf.DUMMYFUNCTION("IMPORTRANGE(""https://docs.google.com/spreadsheets/d/1Yj_ptqi66GCucihVvJfMjLAmec39IyEx_6qawtMGysU/edit?usp=sharing"",""สบก!DC47"")"),0)</f>
        <v>0</v>
      </c>
      <c r="N314" s="628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IFERROR(__xludf.DUMMYFUNCTION("IMPORTRANGE(""https://docs.google.com/spreadsheets/d/1Yj_ptqi66GCucihVvJfMjLAmec39IyEx_6qawtMGysU/edit?usp=sharing"",""สบก!DA47"")"),0)</f>
        <v>0</v>
      </c>
      <c r="M318" s="626"/>
      <c r="N318" s="623">
        <f ca="1">IFERROR(__xludf.DUMMYFUNCTION("IMPORTRANGE(""https://docs.google.com/spreadsheets/d/1Yj_ptqi66GCucihVvJfMjLAmec39IyEx_6qawtMGysU/edit?usp=sharing"",""สบก!DE47"")"),0)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IFERROR(__xludf.DUMMYFUNCTION("IMPORTRANGE(""https://docs.google.com/spreadsheets/d/1XL5vhW3sbDhbH9Cz0tuDiY8C3ctxq1tqvaCgkFb8cCA/edit?usp=sharing"",""ยโสธร!I228"")"),530)</f>
        <v>530</v>
      </c>
      <c r="J328" s="340">
        <f ca="1">IFERROR(__xludf.DUMMYFUNCTION("IMPORTRANGE(""https://docs.google.com/spreadsheets/d/1XL5vhW3sbDhbH9Cz0tuDiY8C3ctxq1tqvaCgkFb8cCA/edit?usp=sharing"",""ยโสธร!J228"")"),636)</f>
        <v>636</v>
      </c>
      <c r="K328" s="318">
        <f ca="1">IF(I328&gt;0,J328*100/I328,0)</f>
        <v>120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930370</v>
      </c>
      <c r="M329" s="152">
        <f t="shared" ca="1" si="98"/>
        <v>979870</v>
      </c>
      <c r="N329" s="152">
        <f t="shared" ca="1" si="98"/>
        <v>925063</v>
      </c>
      <c r="O329" s="151">
        <f t="shared" ref="O329:O331" ca="1" si="99">IF(L329&gt;0,N329*100/L329,0)</f>
        <v>99.429581779292107</v>
      </c>
      <c r="P329" s="151">
        <f t="shared" ref="P329:P331" ca="1" si="100">IF(M329&gt;0,N329*100/M329,0)</f>
        <v>94.406707012154669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930370</v>
      </c>
      <c r="M331" s="157">
        <f t="shared" ca="1" si="102"/>
        <v>979870</v>
      </c>
      <c r="N331" s="157">
        <f t="shared" ca="1" si="102"/>
        <v>925063</v>
      </c>
      <c r="O331" s="156">
        <f t="shared" ca="1" si="99"/>
        <v>99.429581779292107</v>
      </c>
      <c r="P331" s="156">
        <f t="shared" ca="1" si="100"/>
        <v>94.406707012154669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783370</v>
      </c>
      <c r="M333" s="627">
        <f ca="1">IFERROR(__xludf.DUMMYFUNCTION("IMPORTRANGE(""https://docs.google.com/spreadsheets/d/1Yj_ptqi66GCucihVvJfMjLAmec39IyEx_6qawtMGysU/edit?usp=sharing"",""สบก!DL47"")"),832870)</f>
        <v>832870</v>
      </c>
      <c r="N333" s="628">
        <f ca="1">IFERROR(__xludf.DUMMYFUNCTION("IMPORTRANGE(""https://docs.google.com/spreadsheets/d/1Yj_ptqi66GCucihVvJfMjLAmec39IyEx_6qawtMGysU/edit?usp=sharing"",""สบก!DM47"")"),778063)</f>
        <v>778063</v>
      </c>
      <c r="O333" s="169">
        <f ca="1">IF(L333&gt;0,N333*100/L333,0)</f>
        <v>99.32254234908153</v>
      </c>
      <c r="P333" s="169">
        <f ca="1">IF(M333&gt;0,N333*100/M333,0)</f>
        <v>93.419501242690941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IFERROR(__xludf.DUMMYFUNCTION("IMPORTRANGE(""https://docs.google.com/spreadsheets/d/1Yj_ptqi66GCucihVvJfMjLAmec39IyEx_6qawtMGysU/edit?usp=sharing"",""สบก!DI47"")"),506170)</f>
        <v>506170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IFERROR(__xludf.DUMMYFUNCTION("IMPORTRANGE(""https://docs.google.com/spreadsheets/d/1Yj_ptqi66GCucihVvJfMjLAmec39IyEx_6qawtMGysU/edit?usp=sharing"",""สบก!DJ47"")"),147000)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IFERROR(__xludf.DUMMYFUNCTION("IMPORTRANGE(""https://docs.google.com/spreadsheets/d/1Yj_ptqi66GCucihVvJfMjLAmec39IyEx_6qawtMGysU/edit?usp=sharing"",""สบก!DN47"")"),147000)</f>
        <v>147000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IFERROR(__xludf.DUMMYFUNCTION("IMPORTRANGE(""https://docs.google.com/spreadsheets/d/1XL5vhW3sbDhbH9Cz0tuDiY8C3ctxq1tqvaCgkFb8cCA/edit?usp=sharing"",""ยโสธร!J234"")"),332)</f>
        <v>332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IFERROR(__xludf.DUMMYFUNCTION("IMPORTRANGE(""https://docs.google.com/spreadsheets/d/1XL5vhW3sbDhbH9Cz0tuDiY8C3ctxq1tqvaCgkFb8cCA/edit?usp=sharing"",""ยโสธร!J235"")"),2604.31999999999)</f>
        <v>2604.3199999999902</v>
      </c>
      <c r="K340" s="343">
        <f t="shared" ca="1" si="103"/>
        <v>89.804137931034148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IFERROR(__xludf.DUMMYFUNCTION("IMPORTRANGE(""https://docs.google.com/spreadsheets/d/1XL5vhW3sbDhbH9Cz0tuDiY8C3ctxq1tqvaCgkFb8cCA/edit?usp=sharing"",""ยโสธร!J236"")"),668)</f>
        <v>668</v>
      </c>
      <c r="K341" s="343">
        <f t="shared" ca="1" si="103"/>
        <v>126.0377358490566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IFERROR(__xludf.DUMMYFUNCTION("IMPORTRANGE(""https://docs.google.com/spreadsheets/d/1XL5vhW3sbDhbH9Cz0tuDiY8C3ctxq1tqvaCgkFb8cCA/edit?usp=sharing"",""ยโสธร!J237"")"),6401.19)</f>
        <v>6401.19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IFERROR(__xludf.DUMMYFUNCTION("IMPORTRANGE(""https://docs.google.com/spreadsheets/d/1XL5vhW3sbDhbH9Cz0tuDiY8C3ctxq1tqvaCgkFb8cCA/edit?usp=sharing"",""ยโสธร!J238"")"),3)</f>
        <v>3</v>
      </c>
      <c r="K343" s="343">
        <f t="shared" ca="1" si="103"/>
        <v>0.56603773584905659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IFERROR(__xludf.DUMMYFUNCTION("IMPORTRANGE(""https://docs.google.com/spreadsheets/d/1XL5vhW3sbDhbH9Cz0tuDiY8C3ctxq1tqvaCgkFb8cCA/edit?usp=sharing"",""ยโสธร!J239"")"),15.85)</f>
        <v>15.85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IFERROR(__xludf.DUMMYFUNCTION("IMPORTRANGE(""https://docs.google.com/spreadsheets/d/1XL5vhW3sbDhbH9Cz0tuDiY8C3ctxq1tqvaCgkFb8cCA/edit?usp=sharing"",""ยโสธร!J240"")"),636)</f>
        <v>636</v>
      </c>
      <c r="K345" s="343">
        <f t="shared" ca="1" si="103"/>
        <v>120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IFERROR(__xludf.DUMMYFUNCTION("IMPORTRANGE(""https://docs.google.com/spreadsheets/d/1XL5vhW3sbDhbH9Cz0tuDiY8C3ctxq1tqvaCgkFb8cCA/edit?usp=sharing"",""ยโสธร!J241"")"),6122)</f>
        <v>6122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IFERROR(__xludf.DUMMYFUNCTION("IMPORTRANGE(""https://docs.google.com/spreadsheets/d/1XL5vhW3sbDhbH9Cz0tuDiY8C3ctxq1tqvaCgkFb8cCA/edit?usp=sharing"",""ยโสธร!L242"")"),2401170)</f>
        <v>2401170</v>
      </c>
      <c r="M347" s="358"/>
      <c r="N347" s="358">
        <f ca="1">IFERROR(__xludf.DUMMYFUNCTION("IMPORTRANGE(""https://docs.google.com/spreadsheets/d/1XL5vhW3sbDhbH9Cz0tuDiY8C3ctxq1tqvaCgkFb8cCA/edit?usp=sharing"",""ยโสธร!M242"")"),1892872.5)</f>
        <v>1892872.5</v>
      </c>
      <c r="O347" s="358">
        <f ca="1">+IF(L347&gt;0,N347*100/L347,0)</f>
        <v>78.831257262084733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IFERROR(__xludf.DUMMYFUNCTION("IMPORTRANGE(""https://docs.google.com/spreadsheets/d/1XL5vhW3sbDhbH9Cz0tuDiY8C3ctxq1tqvaCgkFb8cCA/edit?usp=sharing"",""ยโสธร!M244"")"),580141.5)</f>
        <v>580141.5</v>
      </c>
      <c r="O349" s="373">
        <f ca="1">+IF(L349&gt;0,N349*100/L349,0)</f>
        <v>86.86053301392424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IFERROR(__xludf.DUMMYFUNCTION("IMPORTRANGE(""https://docs.google.com/spreadsheets/d/1XL5vhW3sbDhbH9Cz0tuDiY8C3ctxq1tqvaCgkFb8cCA/edit?usp=sharing"",""ยโสธร!M247"")"),580141.5)</f>
        <v>580141.5</v>
      </c>
      <c r="O352" s="165">
        <f t="shared" ca="1" si="105"/>
        <v>86.86053301392424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IFERROR(__xludf.DUMMYFUNCTION("IMPORTRANGE(""https://docs.google.com/spreadsheets/d/1XL5vhW3sbDhbH9Cz0tuDiY8C3ctxq1tqvaCgkFb8cCA/edit?usp=sharing"",""ยโสธร!M249"")"),580141.5)</f>
        <v>580141.5</v>
      </c>
      <c r="O354" s="169">
        <f t="shared" ca="1" si="105"/>
        <v>86.86053301392424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IFERROR(__xludf.DUMMYFUNCTION("IMPORTRANGE(""https://docs.google.com/spreadsheets/d/1XL5vhW3sbDhbH9Cz0tuDiY8C3ctxq1tqvaCgkFb8cCA/edit?usp=sharing"",""ยโสธร!M250"")"),146850)</f>
        <v>146850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IFERROR(__xludf.DUMMYFUNCTION("IMPORTRANGE(""https://docs.google.com/spreadsheets/d/1XL5vhW3sbDhbH9Cz0tuDiY8C3ctxq1tqvaCgkFb8cCA/edit?usp=sharing"",""ยโสธร!M252"")"),84334)</f>
        <v>84334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IFERROR(__xludf.DUMMYFUNCTION("IMPORTRANGE(""https://docs.google.com/spreadsheets/d/1XL5vhW3sbDhbH9Cz0tuDiY8C3ctxq1tqvaCgkFb8cCA/edit?usp=sharing"",""ยโสธร!M253"")"),48520)</f>
        <v>48520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IFERROR(__xludf.DUMMYFUNCTION("IMPORTRANGE(""https://docs.google.com/spreadsheets/d/1XL5vhW3sbDhbH9Cz0tuDiY8C3ctxq1tqvaCgkFb8cCA/edit?usp=sharing"",""ยโสธร!M275"")"),442590)</f>
        <v>442590</v>
      </c>
      <c r="O380" s="373">
        <f ca="1">+IF(L380&gt;0,N380*100/L380,0)</f>
        <v>96.185943408527834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IFERROR(__xludf.DUMMYFUNCTION("IMPORTRANGE(""https://docs.google.com/spreadsheets/d/1XL5vhW3sbDhbH9Cz0tuDiY8C3ctxq1tqvaCgkFb8cCA/edit?usp=sharing"",""ยโสธร!M278"")"),442590)</f>
        <v>442590</v>
      </c>
      <c r="O383" s="165">
        <f t="shared" ca="1" si="109"/>
        <v>96.185943408527834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IFERROR(__xludf.DUMMYFUNCTION("IMPORTRANGE(""https://docs.google.com/spreadsheets/d/1XL5vhW3sbDhbH9Cz0tuDiY8C3ctxq1tqvaCgkFb8cCA/edit?usp=sharing"",""ยโสธร!M280"")"),442590)</f>
        <v>442590</v>
      </c>
      <c r="O385" s="169">
        <f t="shared" ca="1" si="109"/>
        <v>96.185943408527834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IFERROR(__xludf.DUMMYFUNCTION("IMPORTRANGE(""https://docs.google.com/spreadsheets/d/1XL5vhW3sbDhbH9Cz0tuDiY8C3ctxq1tqvaCgkFb8cCA/edit?usp=sharing"",""ยโสธร!M281"")"),95000)</f>
        <v>95000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IFERROR(__xludf.DUMMYFUNCTION("IMPORTRANGE(""https://docs.google.com/spreadsheets/d/1XL5vhW3sbDhbH9Cz0tuDiY8C3ctxq1tqvaCgkFb8cCA/edit?usp=sharing"",""ยโสธร!M284"")"),35090)</f>
        <v>35090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IFERROR(__xludf.DUMMYFUNCTION("IMPORTRANGE(""https://docs.google.com/spreadsheets/d/1XL5vhW3sbDhbH9Cz0tuDiY8C3ctxq1tqvaCgkFb8cCA/edit?usp=sharing"",""ยโสธร!J293"")"),70)</f>
        <v>70</v>
      </c>
      <c r="K398" s="163">
        <f t="shared" ca="1" si="110"/>
        <v>140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IFERROR(__xludf.DUMMYFUNCTION("IMPORTRANGE(""https://docs.google.com/spreadsheets/d/1XL5vhW3sbDhbH9Cz0tuDiY8C3ctxq1tqvaCgkFb8cCA/edit?usp=sharing"",""ยโสธร!J295"")"),0)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IFERROR(__xludf.DUMMYFUNCTION("IMPORTRANGE(""https://docs.google.com/spreadsheets/d/1XL5vhW3sbDhbH9Cz0tuDiY8C3ctxq1tqvaCgkFb8cCA/edit?usp=sharing"",""ยโสธร!M296"")"),184420)</f>
        <v>184420</v>
      </c>
      <c r="O401" s="373">
        <f ca="1">+IF(L401&gt;0,N401*100/L401,0)</f>
        <v>95.460427558362241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IFERROR(__xludf.DUMMYFUNCTION("IMPORTRANGE(""https://docs.google.com/spreadsheets/d/1XL5vhW3sbDhbH9Cz0tuDiY8C3ctxq1tqvaCgkFb8cCA/edit?usp=sharing"",""ยโสธร!M299"")"),184420)</f>
        <v>184420</v>
      </c>
      <c r="O404" s="169">
        <f t="shared" ca="1" si="112"/>
        <v>95.460427558362241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IFERROR(__xludf.DUMMYFUNCTION("IMPORTRANGE(""https://docs.google.com/spreadsheets/d/1XL5vhW3sbDhbH9Cz0tuDiY8C3ctxq1tqvaCgkFb8cCA/edit?usp=sharing"",""ยโสธร!M301"")"),184420)</f>
        <v>184420</v>
      </c>
      <c r="O406" s="169">
        <f t="shared" ca="1" si="112"/>
        <v>95.460427558362241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IFERROR(__xludf.DUMMYFUNCTION("IMPORTRANGE(""https://docs.google.com/spreadsheets/d/1XL5vhW3sbDhbH9Cz0tuDiY8C3ctxq1tqvaCgkFb8cCA/edit?usp=sharing"",""ยโสธร!M302"")"),113350)</f>
        <v>113350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IFERROR(__xludf.DUMMYFUNCTION("IMPORTRANGE(""https://docs.google.com/spreadsheets/d/1XL5vhW3sbDhbH9Cz0tuDiY8C3ctxq1tqvaCgkFb8cCA/edit?usp=sharing"",""ยโสธร!M305"")"),23570)</f>
        <v>23570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IFERROR(__xludf.DUMMYFUNCTION("IMPORTRANGE(""https://docs.google.com/spreadsheets/d/1XL5vhW3sbDhbH9Cz0tuDiY8C3ctxq1tqvaCgkFb8cCA/edit?usp=sharing"",""ยโสธร!J329"")"),0)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IFERROR(__xludf.DUMMYFUNCTION("IMPORTRANGE(""https://docs.google.com/spreadsheets/d/1XL5vhW3sbDhbH9Cz0tuDiY8C3ctxq1tqvaCgkFb8cCA/edit?usp=sharing"",""ยโสธร!M330"")"),68050)</f>
        <v>68050</v>
      </c>
      <c r="O435" s="412">
        <f t="shared" ref="O435:O439" ca="1" si="114">+IF(L435&gt;0,N435*100/L435,0)</f>
        <v>64.198113207547166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IFERROR(__xludf.DUMMYFUNCTION("IMPORTRANGE(""https://docs.google.com/spreadsheets/d/1XL5vhW3sbDhbH9Cz0tuDiY8C3ctxq1tqvaCgkFb8cCA/edit?usp=sharing"",""ยโสธร!M332"")"),68050)</f>
        <v>68050</v>
      </c>
      <c r="O437" s="169">
        <f t="shared" ca="1" si="114"/>
        <v>64.198113207547166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IFERROR(__xludf.DUMMYFUNCTION("IMPORTRANGE(""https://docs.google.com/spreadsheets/d/1XL5vhW3sbDhbH9Cz0tuDiY8C3ctxq1tqvaCgkFb8cCA/edit?usp=sharing"",""ยโสธร!M334"")"),68050)</f>
        <v>68050</v>
      </c>
      <c r="O439" s="169">
        <f t="shared" ca="1" si="114"/>
        <v>64.198113207547166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IFERROR(__xludf.DUMMYFUNCTION("IMPORTRANGE(""https://docs.google.com/spreadsheets/d/1XL5vhW3sbDhbH9Cz0tuDiY8C3ctxq1tqvaCgkFb8cCA/edit?usp=sharing"",""ยโสธร!M335"")"),54520)</f>
        <v>54520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IFERROR(__xludf.DUMMYFUNCTION("IMPORTRANGE(""https://docs.google.com/spreadsheets/d/1XL5vhW3sbDhbH9Cz0tuDiY8C3ctxq1tqvaCgkFb8cCA/edit?usp=sharing"",""ยโสธร!M338"")"),13530)</f>
        <v>13530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IFERROR(__xludf.DUMMYFUNCTION("IMPORTRANGE(""https://docs.google.com/spreadsheets/d/1XL5vhW3sbDhbH9Cz0tuDiY8C3ctxq1tqvaCgkFb8cCA/edit?usp=sharing"",""ยโสธร!J349"")"),0)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IFERROR(__xludf.DUMMYFUNCTION("IMPORTRANGE(""https://docs.google.com/spreadsheets/d/1XL5vhW3sbDhbH9Cz0tuDiY8C3ctxq1tqvaCgkFb8cCA/edit?usp=sharing"",""ยโสธร!J350"")"),46326)</f>
        <v>46326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IFERROR(__xludf.DUMMYFUNCTION("IMPORTRANGE(""https://docs.google.com/spreadsheets/d/1XL5vhW3sbDhbH9Cz0tuDiY8C3ctxq1tqvaCgkFb8cCA/edit?usp=sharing"",""ยโสธร!L350"")"),477560)</f>
        <v>477560</v>
      </c>
      <c r="M455" s="373"/>
      <c r="N455" s="373">
        <f ca="1">IFERROR(__xludf.DUMMYFUNCTION("IMPORTRANGE(""https://docs.google.com/spreadsheets/d/1XL5vhW3sbDhbH9Cz0tuDiY8C3ctxq1tqvaCgkFb8cCA/edit?usp=sharing"",""ยโสธร!M350"")"),219659)</f>
        <v>219659</v>
      </c>
      <c r="O455" s="373">
        <f t="shared" ref="O455:O459" ca="1" si="116">+IF(L455&gt;0,N455*100/L455,0)</f>
        <v>45.996105201440656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IFERROR(__xludf.DUMMYFUNCTION("IMPORTRANGE(""https://docs.google.com/spreadsheets/d/1XL5vhW3sbDhbH9Cz0tuDiY8C3ctxq1tqvaCgkFb8cCA/edit?usp=sharing"",""ยโสธร!L352"")"),477560)</f>
        <v>477560</v>
      </c>
      <c r="M457" s="165"/>
      <c r="N457" s="169">
        <f ca="1">IFERROR(__xludf.DUMMYFUNCTION("IMPORTRANGE(""https://docs.google.com/spreadsheets/d/1XL5vhW3sbDhbH9Cz0tuDiY8C3ctxq1tqvaCgkFb8cCA/edit?usp=sharing"",""ยโสธร!M352"")"),219659)</f>
        <v>219659</v>
      </c>
      <c r="O457" s="169">
        <f t="shared" ca="1" si="116"/>
        <v>45.996105201440656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IFERROR(__xludf.DUMMYFUNCTION("IMPORTRANGE(""https://docs.google.com/spreadsheets/d/1XL5vhW3sbDhbH9Cz0tuDiY8C3ctxq1tqvaCgkFb8cCA/edit?usp=sharing"",""ยโสธร!L354"")"),477560)</f>
        <v>477560</v>
      </c>
      <c r="M459" s="169"/>
      <c r="N459" s="169">
        <f ca="1">IFERROR(__xludf.DUMMYFUNCTION("IMPORTRANGE(""https://docs.google.com/spreadsheets/d/1XL5vhW3sbDhbH9Cz0tuDiY8C3ctxq1tqvaCgkFb8cCA/edit?usp=sharing"",""ยโสธร!M354"")"),219659)</f>
        <v>219659</v>
      </c>
      <c r="O459" s="169">
        <f t="shared" ca="1" si="116"/>
        <v>45.996105201440656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IFERROR(__xludf.DUMMYFUNCTION("IMPORTRANGE(""https://docs.google.com/spreadsheets/d/1XL5vhW3sbDhbH9Cz0tuDiY8C3ctxq1tqvaCgkFb8cCA/edit?usp=sharing"",""ยโสธร!M357"")"),106333)</f>
        <v>106333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IFERROR(__xludf.DUMMYFUNCTION("IMPORTRANGE(""https://docs.google.com/spreadsheets/d/1XL5vhW3sbDhbH9Cz0tuDiY8C3ctxq1tqvaCgkFb8cCA/edit?usp=sharing"",""ยโสธร!M358"")"),113326)</f>
        <v>113326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IFERROR(__xludf.DUMMYFUNCTION("IMPORTRANGE(""https://docs.google.com/spreadsheets/d/1XL5vhW3sbDhbH9Cz0tuDiY8C3ctxq1tqvaCgkFb8cCA/edit?usp=sharing"",""ยโสธร!I359"")"),46326)</f>
        <v>46326</v>
      </c>
      <c r="J464" s="268">
        <f ca="1">IFERROR(__xludf.DUMMYFUNCTION("IMPORTRANGE(""https://docs.google.com/spreadsheets/d/1XL5vhW3sbDhbH9Cz0tuDiY8C3ctxq1tqvaCgkFb8cCA/edit?usp=sharing"",""ยโสธร!J359"")"),46326)</f>
        <v>46326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IFERROR(__xludf.DUMMYFUNCTION("IMPORTRANGE(""https://docs.google.com/spreadsheets/d/1XL5vhW3sbDhbH9Cz0tuDiY8C3ctxq1tqvaCgkFb8cCA/edit?usp=sharing"",""ยโสธร!J376"")"),46326)</f>
        <v>46326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IFERROR(__xludf.DUMMYFUNCTION("IMPORTRANGE(""https://docs.google.com/spreadsheets/d/1XL5vhW3sbDhbH9Cz0tuDiY8C3ctxq1tqvaCgkFb8cCA/edit?usp=sharing"",""ยโสธร!J377"")"),4858)</f>
        <v>4858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IFERROR(__xludf.DUMMYFUNCTION("IMPORTRANGE(""https://docs.google.com/spreadsheets/d/1XL5vhW3sbDhbH9Cz0tuDiY8C3ctxq1tqvaCgkFb8cCA/edit?usp=sharing"",""ยโสธร!J378"")"),45195)</f>
        <v>45195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IFERROR(__xludf.DUMMYFUNCTION("IMPORTRANGE(""https://docs.google.com/spreadsheets/d/1XL5vhW3sbDhbH9Cz0tuDiY8C3ctxq1tqvaCgkFb8cCA/edit?usp=sharing"",""ยโสธร!J379"")"),4764)</f>
        <v>4764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IFERROR(__xludf.DUMMYFUNCTION("IMPORTRANGE(""https://docs.google.com/spreadsheets/d/1XL5vhW3sbDhbH9Cz0tuDiY8C3ctxq1tqvaCgkFb8cCA/edit?usp=sharing"",""ยโสธร!J380"")"),40)</f>
        <v>40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IFERROR(__xludf.DUMMYFUNCTION("IMPORTRANGE(""https://docs.google.com/spreadsheets/d/1XL5vhW3sbDhbH9Cz0tuDiY8C3ctxq1tqvaCgkFb8cCA/edit?usp=sharing"",""ยโสธร!J382"")"),740)</f>
        <v>740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IFERROR(__xludf.DUMMYFUNCTION("IMPORTRANGE(""https://docs.google.com/spreadsheets/d/1XL5vhW3sbDhbH9Cz0tuDiY8C3ctxq1tqvaCgkFb8cCA/edit?usp=sharing"",""ยโสธร!J383"")"),66)</f>
        <v>66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IFERROR(__xludf.DUMMYFUNCTION("IMPORTRANGE(""https://docs.google.com/spreadsheets/d/1XL5vhW3sbDhbH9Cz0tuDiY8C3ctxq1tqvaCgkFb8cCA/edit?usp=sharing"",""ยโสธร!J384"")"),740)</f>
        <v>740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IFERROR(__xludf.DUMMYFUNCTION("IMPORTRANGE(""https://docs.google.com/spreadsheets/d/1XL5vhW3sbDhbH9Cz0tuDiY8C3ctxq1tqvaCgkFb8cCA/edit?usp=sharing"",""ยโสธร!J385"")"),66)</f>
        <v>66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IFERROR(__xludf.DUMMYFUNCTION("IMPORTRANGE(""https://docs.google.com/spreadsheets/d/1XL5vhW3sbDhbH9Cz0tuDiY8C3ctxq1tqvaCgkFb8cCA/edit?usp=sharing"",""ยโสธร!J388"")"),351)</f>
        <v>351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IFERROR(__xludf.DUMMYFUNCTION("IMPORTRANGE(""https://docs.google.com/spreadsheets/d/1XL5vhW3sbDhbH9Cz0tuDiY8C3ctxq1tqvaCgkFb8cCA/edit?usp=sharing"",""ยโสธร!J389"")"),24)</f>
        <v>24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IFERROR(__xludf.DUMMYFUNCTION("IMPORTRANGE(""https://docs.google.com/spreadsheets/d/1XL5vhW3sbDhbH9Cz0tuDiY8C3ctxq1tqvaCgkFb8cCA/edit?usp=sharing"",""ยโสธร!J392"")"),951)</f>
        <v>951</v>
      </c>
      <c r="K497" s="444">
        <f t="shared" ca="1" si="117"/>
        <v>60.844529750479843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IFERROR(__xludf.DUMMYFUNCTION("IMPORTRANGE(""https://docs.google.com/spreadsheets/d/1XL5vhW3sbDhbH9Cz0tuDiY8C3ctxq1tqvaCgkFb8cCA/edit?usp=sharing"",""ยโสธร!J393"")"),951)</f>
        <v>951</v>
      </c>
      <c r="K498" s="163">
        <f t="shared" ca="1" si="117"/>
        <v>60.844529750479843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IFERROR(__xludf.DUMMYFUNCTION("IMPORTRANGE(""https://docs.google.com/spreadsheets/d/1XL5vhW3sbDhbH9Cz0tuDiY8C3ctxq1tqvaCgkFb8cCA/edit?usp=sharing"",""ยโสธร!J394"")"),76)</f>
        <v>76</v>
      </c>
      <c r="K499" s="202">
        <f t="shared" ca="1" si="117"/>
        <v>59.375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IFERROR(__xludf.DUMMYFUNCTION("IMPORTRANGE(""https://docs.google.com/spreadsheets/d/1XL5vhW3sbDhbH9Cz0tuDiY8C3ctxq1tqvaCgkFb8cCA/edit?usp=sharing"",""ยโสธร!J395"")"),951)</f>
        <v>951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IFERROR(__xludf.DUMMYFUNCTION("IMPORTRANGE(""https://docs.google.com/spreadsheets/d/1XL5vhW3sbDhbH9Cz0tuDiY8C3ctxq1tqvaCgkFb8cCA/edit?usp=sharing"",""ยโสธร!J396"")"),76)</f>
        <v>76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IFERROR(__xludf.DUMMYFUNCTION("IMPORTRANGE(""https://docs.google.com/spreadsheets/d/1XL5vhW3sbDhbH9Cz0tuDiY8C3ctxq1tqvaCgkFb8cCA/edit?usp=sharing"",""ยโสธร!J397"")"),951)</f>
        <v>951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IFERROR(__xludf.DUMMYFUNCTION("IMPORTRANGE(""https://docs.google.com/spreadsheets/d/1XL5vhW3sbDhbH9Cz0tuDiY8C3ctxq1tqvaCgkFb8cCA/edit?usp=sharing"",""ยโสธร!J398"")"),76)</f>
        <v>76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IFERROR(__xludf.DUMMYFUNCTION("IMPORTRANGE(""https://docs.google.com/spreadsheets/d/1XL5vhW3sbDhbH9Cz0tuDiY8C3ctxq1tqvaCgkFb8cCA/edit?usp=sharing"",""ยโสธร!I412"")"),0)</f>
        <v>0</v>
      </c>
      <c r="J517" s="285">
        <f ca="1">IFERROR(__xludf.DUMMYFUNCTION("IMPORTRANGE(""https://docs.google.com/spreadsheets/d/1XL5vhW3sbDhbH9Cz0tuDiY8C3ctxq1tqvaCgkFb8cCA/edit?usp=sharing"",""ยโสธร!J412"")"),0)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IFERROR(__xludf.DUMMYFUNCTION("IMPORTRANGE(""https://docs.google.com/spreadsheets/d/1XL5vhW3sbDhbH9Cz0tuDiY8C3ctxq1tqvaCgkFb8cCA/edit?usp=sharing"",""ยโสธร!I413"")"),0)</f>
        <v>0</v>
      </c>
      <c r="J518" s="285">
        <f ca="1">IFERROR(__xludf.DUMMYFUNCTION("IMPORTRANGE(""https://docs.google.com/spreadsheets/d/1XL5vhW3sbDhbH9Cz0tuDiY8C3ctxq1tqvaCgkFb8cCA/edit?usp=sharing"",""ยโสธร!J413"")"),0)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IFERROR(__xludf.DUMMYFUNCTION("IMPORTRANGE(""https://docs.google.com/spreadsheets/d/1XL5vhW3sbDhbH9Cz0tuDiY8C3ctxq1tqvaCgkFb8cCA/edit?usp=sharing"",""ยโสธร!J418"")"),920)</f>
        <v>920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IFERROR(__xludf.DUMMYFUNCTION("IMPORTRANGE(""https://docs.google.com/spreadsheets/d/1XL5vhW3sbDhbH9Cz0tuDiY8C3ctxq1tqvaCgkFb8cCA/edit?usp=sharing"",""ยโสธร!J419"")"),63)</f>
        <v>63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IFERROR(__xludf.DUMMYFUNCTION("IMPORTRANGE(""https://docs.google.com/spreadsheets/d/1XL5vhW3sbDhbH9Cz0tuDiY8C3ctxq1tqvaCgkFb8cCA/edit?usp=sharing"",""ยโสธร!I420"")"),920)</f>
        <v>920</v>
      </c>
      <c r="J525" s="285">
        <f ca="1">IFERROR(__xludf.DUMMYFUNCTION("IMPORTRANGE(""https://docs.google.com/spreadsheets/d/1XL5vhW3sbDhbH9Cz0tuDiY8C3ctxq1tqvaCgkFb8cCA/edit?usp=sharing"",""ยโสธร!J420"")"),565)</f>
        <v>565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IFERROR(__xludf.DUMMYFUNCTION("IMPORTRANGE(""https://docs.google.com/spreadsheets/d/1XL5vhW3sbDhbH9Cz0tuDiY8C3ctxq1tqvaCgkFb8cCA/edit?usp=sharing"",""ยโสธร!I421"")"),63)</f>
        <v>63</v>
      </c>
      <c r="J526" s="285">
        <f ca="1">IFERROR(__xludf.DUMMYFUNCTION("IMPORTRANGE(""https://docs.google.com/spreadsheets/d/1XL5vhW3sbDhbH9Cz0tuDiY8C3ctxq1tqvaCgkFb8cCA/edit?usp=sharing"",""ยโสธร!J421"")"),47)</f>
        <v>47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IFERROR(__xludf.DUMMYFUNCTION("IMPORTRANGE(""https://docs.google.com/spreadsheets/d/1XL5vhW3sbDhbH9Cz0tuDiY8C3ctxq1tqvaCgkFb8cCA/edit?usp=sharing"",""ยโสธร!J422"")"),565)</f>
        <v>565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IFERROR(__xludf.DUMMYFUNCTION("IMPORTRANGE(""https://docs.google.com/spreadsheets/d/1XL5vhW3sbDhbH9Cz0tuDiY8C3ctxq1tqvaCgkFb8cCA/edit?usp=sharing"",""ยโสธร!J423"")"),47)</f>
        <v>47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IFERROR(__xludf.DUMMYFUNCTION("IMPORTRANGE(""https://docs.google.com/spreadsheets/d/1XL5vhW3sbDhbH9Cz0tuDiY8C3ctxq1tqvaCgkFb8cCA/edit?usp=sharing"",""ยโสธร!M428"")"),33140)</f>
        <v>33140</v>
      </c>
      <c r="O533" s="412">
        <f t="shared" ref="O533:O537" ca="1" si="118">+IF(L533&gt;0,N533*100/L533,0)</f>
        <v>96.505532906231807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IFERROR(__xludf.DUMMYFUNCTION("IMPORTRANGE(""https://docs.google.com/spreadsheets/d/1XL5vhW3sbDhbH9Cz0tuDiY8C3ctxq1tqvaCgkFb8cCA/edit?usp=sharing"",""ยโสธร!M430"")"),33140)</f>
        <v>33140</v>
      </c>
      <c r="O535" s="169">
        <f t="shared" ca="1" si="118"/>
        <v>96.505532906231807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IFERROR(__xludf.DUMMYFUNCTION("IMPORTRANGE(""https://docs.google.com/spreadsheets/d/1XL5vhW3sbDhbH9Cz0tuDiY8C3ctxq1tqvaCgkFb8cCA/edit?usp=sharing"",""ยโสธร!M432"")"),33140)</f>
        <v>33140</v>
      </c>
      <c r="O537" s="169">
        <f t="shared" ca="1" si="118"/>
        <v>96.505532906231807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IFERROR(__xludf.DUMMYFUNCTION("IMPORTRANGE(""https://docs.google.com/spreadsheets/d/1XL5vhW3sbDhbH9Cz0tuDiY8C3ctxq1tqvaCgkFb8cCA/edit?usp=sharing"",""ยโสธร!M433"")"),17540)</f>
        <v>17540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IFERROR(__xludf.DUMMYFUNCTION("IMPORTRANGE(""https://docs.google.com/spreadsheets/d/1XL5vhW3sbDhbH9Cz0tuDiY8C3ctxq1tqvaCgkFb8cCA/edit?usp=sharing"",""ยโสธร!J459"")"),7540)</f>
        <v>7540</v>
      </c>
      <c r="K564" s="372">
        <f ca="1">IF(I564&gt;0,J564*100/I564,0)</f>
        <v>396.84210526315792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IFERROR(__xludf.DUMMYFUNCTION("IMPORTRANGE(""https://docs.google.com/spreadsheets/d/1XL5vhW3sbDhbH9Cz0tuDiY8C3ctxq1tqvaCgkFb8cCA/edit?usp=sharing"",""ยโสธร!M459"")"),98088)</f>
        <v>98088</v>
      </c>
      <c r="O564" s="373">
        <f t="shared" ref="O564:O568" ca="1" si="122">+IF(L564&gt;0,N564*100/L564,0)</f>
        <v>68.959505061867262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IFERROR(__xludf.DUMMYFUNCTION("IMPORTRANGE(""https://docs.google.com/spreadsheets/d/1XL5vhW3sbDhbH9Cz0tuDiY8C3ctxq1tqvaCgkFb8cCA/edit?usp=sharing"",""ยโสธร!M461"")"),98088)</f>
        <v>98088</v>
      </c>
      <c r="O566" s="169">
        <f t="shared" ca="1" si="122"/>
        <v>68.959505061867262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IFERROR(__xludf.DUMMYFUNCTION("IMPORTRANGE(""https://docs.google.com/spreadsheets/d/1XL5vhW3sbDhbH9Cz0tuDiY8C3ctxq1tqvaCgkFb8cCA/edit?usp=sharing"",""ยโสธร!M463"")"),98088)</f>
        <v>98088</v>
      </c>
      <c r="O568" s="169">
        <f t="shared" ca="1" si="122"/>
        <v>68.959505061867262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IFERROR(__xludf.DUMMYFUNCTION("IMPORTRANGE(""https://docs.google.com/spreadsheets/d/1XL5vhW3sbDhbH9Cz0tuDiY8C3ctxq1tqvaCgkFb8cCA/edit?usp=sharing"",""ยโสธร!M466"")"),54848)</f>
        <v>54848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IFERROR(__xludf.DUMMYFUNCTION("IMPORTRANGE(""https://docs.google.com/spreadsheets/d/1XL5vhW3sbDhbH9Cz0tuDiY8C3ctxq1tqvaCgkFb8cCA/edit?usp=sharing"",""ยโสธร!M467"")"),43240)</f>
        <v>43240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IFERROR(__xludf.DUMMYFUNCTION("IMPORTRANGE(""https://docs.google.com/spreadsheets/d/1XL5vhW3sbDhbH9Cz0tuDiY8C3ctxq1tqvaCgkFb8cCA/edit?usp=sharing"",""ยโสธร!J468"")"),7540)</f>
        <v>7540</v>
      </c>
      <c r="K573" s="202">
        <f ca="1">IF(I573&gt;0,J573*100/I573,0)</f>
        <v>396.84210526315792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IFERROR(__xludf.DUMMYFUNCTION("IMPORTRANGE(""https://docs.google.com/spreadsheets/d/1XL5vhW3sbDhbH9Cz0tuDiY8C3ctxq1tqvaCgkFb8cCA/edit?usp=sharing"",""ยโสธร!J470"")"),21)</f>
        <v>21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IFERROR(__xludf.DUMMYFUNCTION("IMPORTRANGE(""https://docs.google.com/spreadsheets/d/1XL5vhW3sbDhbH9Cz0tuDiY8C3ctxq1tqvaCgkFb8cCA/edit?usp=sharing"",""ยโสธร!J471"")"),557)</f>
        <v>557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IFERROR(__xludf.DUMMYFUNCTION("IMPORTRANGE(""https://docs.google.com/spreadsheets/d/1XL5vhW3sbDhbH9Cz0tuDiY8C3ctxq1tqvaCgkFb8cCA/edit?usp=sharing"",""ยโสธร!J472"")"),6983)</f>
        <v>6983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IFERROR(__xludf.DUMMYFUNCTION("IMPORTRANGE(""https://docs.google.com/spreadsheets/d/1XL5vhW3sbDhbH9Cz0tuDiY8C3ctxq1tqvaCgkFb8cCA/edit?usp=sharing"",""ยโสธร!J475"")"),64)</f>
        <v>64</v>
      </c>
      <c r="K580" s="372">
        <f ca="1">IF(I580&gt;0,J580*100/I580,0)</f>
        <v>64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IFERROR(__xludf.DUMMYFUNCTION("IMPORTRANGE(""https://docs.google.com/spreadsheets/d/1XL5vhW3sbDhbH9Cz0tuDiY8C3ctxq1tqvaCgkFb8cCA/edit?usp=sharing"",""ยโสธร!M475"")"),260935)</f>
        <v>260935</v>
      </c>
      <c r="O580" s="373">
        <f t="shared" ref="O580:O584" ca="1" si="124">+IF(L580&gt;0,N580*100/L580,0)</f>
        <v>85.245017967984325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IFERROR(__xludf.DUMMYFUNCTION("IMPORTRANGE(""https://docs.google.com/spreadsheets/d/1XL5vhW3sbDhbH9Cz0tuDiY8C3ctxq1tqvaCgkFb8cCA/edit?usp=sharing"",""ยโสธร!M477"")"),260935)</f>
        <v>260935</v>
      </c>
      <c r="O582" s="169">
        <f t="shared" ca="1" si="124"/>
        <v>85.245017967984325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IFERROR(__xludf.DUMMYFUNCTION("IMPORTRANGE(""https://docs.google.com/spreadsheets/d/1XL5vhW3sbDhbH9Cz0tuDiY8C3ctxq1tqvaCgkFb8cCA/edit?usp=sharing"",""ยโสธร!M479"")"),260935)</f>
        <v>260935</v>
      </c>
      <c r="O584" s="169">
        <f t="shared" ca="1" si="124"/>
        <v>85.245017967984325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IFERROR(__xludf.DUMMYFUNCTION("IMPORTRANGE(""https://docs.google.com/spreadsheets/d/1XL5vhW3sbDhbH9Cz0tuDiY8C3ctxq1tqvaCgkFb8cCA/edit?usp=sharing"",""ยโสธร!M482"")"),103565)</f>
        <v>103565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IFERROR(__xludf.DUMMYFUNCTION("IMPORTRANGE(""https://docs.google.com/spreadsheets/d/1XL5vhW3sbDhbH9Cz0tuDiY8C3ctxq1tqvaCgkFb8cCA/edit?usp=sharing"",""ยโสธร!M483"")"),157370)</f>
        <v>157370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IFERROR(__xludf.DUMMYFUNCTION("IMPORTRANGE(""https://docs.google.com/spreadsheets/d/1XL5vhW3sbDhbH9Cz0tuDiY8C3ctxq1tqvaCgkFb8cCA/edit?usp=sharing"",""ยโสธร!J484"")"),97)</f>
        <v>97</v>
      </c>
      <c r="K589" s="163">
        <f t="shared" ref="K589:K596" ca="1" si="125">IF(I589&gt;0,J589*100/I589,0)</f>
        <v>97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IFERROR(__xludf.DUMMYFUNCTION("IMPORTRANGE(""https://docs.google.com/spreadsheets/d/1XL5vhW3sbDhbH9Cz0tuDiY8C3ctxq1tqvaCgkFb8cCA/edit?usp=sharing"",""ยโสธร!J485"")"),49.83)</f>
        <v>49.83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IFERROR(__xludf.DUMMYFUNCTION("IMPORTRANGE(""https://docs.google.com/spreadsheets/d/1XL5vhW3sbDhbH9Cz0tuDiY8C3ctxq1tqvaCgkFb8cCA/edit?usp=sharing"",""ยโสธร!J486"")"),127)</f>
        <v>127</v>
      </c>
      <c r="K591" s="163">
        <f t="shared" ca="1" si="125"/>
        <v>127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IFERROR(__xludf.DUMMYFUNCTION("IMPORTRANGE(""https://docs.google.com/spreadsheets/d/1XL5vhW3sbDhbH9Cz0tuDiY8C3ctxq1tqvaCgkFb8cCA/edit?usp=sharing"",""ยโสธร!J487"")"),65.28)</f>
        <v>65.28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IFERROR(__xludf.DUMMYFUNCTION("IMPORTRANGE(""https://docs.google.com/spreadsheets/d/1XL5vhW3sbDhbH9Cz0tuDiY8C3ctxq1tqvaCgkFb8cCA/edit?usp=sharing"",""ยโสธร!J488"")"),41)</f>
        <v>41</v>
      </c>
      <c r="K593" s="163">
        <f t="shared" ca="1" si="125"/>
        <v>41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IFERROR(__xludf.DUMMYFUNCTION("IMPORTRANGE(""https://docs.google.com/spreadsheets/d/1XL5vhW3sbDhbH9Cz0tuDiY8C3ctxq1tqvaCgkFb8cCA/edit?usp=sharing"",""ยโสธร!J489"")"),31.17)</f>
        <v>31.17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IFERROR(__xludf.DUMMYFUNCTION("IMPORTRANGE(""https://docs.google.com/spreadsheets/d/1XL5vhW3sbDhbH9Cz0tuDiY8C3ctxq1tqvaCgkFb8cCA/edit?usp=sharing"",""ยโสธร!J490"")"),64)</f>
        <v>64</v>
      </c>
      <c r="K595" s="163">
        <f t="shared" ca="1" si="125"/>
        <v>64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IFERROR(__xludf.DUMMYFUNCTION("IMPORTRANGE(""https://docs.google.com/spreadsheets/d/1XL5vhW3sbDhbH9Cz0tuDiY8C3ctxq1tqvaCgkFb8cCA/edit?usp=sharing"",""ยโสธร!J491"")"),28.58)</f>
        <v>28.58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8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IFERROR(__xludf.DUMMYFUNCTION("IMPORTRANGE(""https://docs.google.com/spreadsheets/d/1XL5vhW3sbDhbH9Cz0tuDiY8C3ctxq1tqvaCgkFb8cCA/edit?usp=sharing"",""ยโสธร!J166"")"),0)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IFERROR(__xludf.DUMMYFUNCTION("IMPORTRANGE(""https://docs.google.com/spreadsheets/d/1XL5vhW3sbDhbH9Cz0tuDiY8C3ctxq1tqvaCgkFb8cCA/edit?usp=sharing"",""ยโสธร!J166"")"),0)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2">
        <f ca="1">IFERROR(__xludf.DUMMYFUNCTION("IMPORTRANGE(""https://docs.google.com/spreadsheets/d/1XL5vhW3sbDhbH9Cz0tuDiY8C3ctxq1tqvaCgkFb8cCA/edit?usp=sharing"",""ยโสธร!J523"")"),5533284.23)</f>
        <v>5533284.2300000004</v>
      </c>
      <c r="K628" s="343">
        <f t="shared" ref="K628:K635" ca="1" si="129">IF(I628&gt;0,J628*100/I628,0)</f>
        <v>88.597319833851273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IFERROR(__xludf.DUMMYFUNCTION("IMPORTRANGE(""https://docs.google.com/spreadsheets/d/1XL5vhW3sbDhbH9Cz0tuDiY8C3ctxq1tqvaCgkFb8cCA/edit?usp=sharing"",""ยโสธร!I524"")"),625)</f>
        <v>625</v>
      </c>
      <c r="J629" s="342">
        <f ca="1">IFERROR(__xludf.DUMMYFUNCTION("IMPORTRANGE(""https://docs.google.com/spreadsheets/d/1XL5vhW3sbDhbH9Cz0tuDiY8C3ctxq1tqvaCgkFb8cCA/edit?usp=sharing"",""ยโสธร!J524"")"),554)</f>
        <v>554</v>
      </c>
      <c r="K629" s="343">
        <f t="shared" ca="1" si="129"/>
        <v>88.64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IFERROR(__xludf.DUMMYFUNCTION("IMPORTRANGE(""https://docs.google.com/spreadsheets/d/1XL5vhW3sbDhbH9Cz0tuDiY8C3ctxq1tqvaCgkFb8cCA/edit?usp=sharing"",""ยโสธร!I525"")"),4584633.55)</f>
        <v>4584633.55</v>
      </c>
      <c r="J630" s="342">
        <f ca="1">IFERROR(__xludf.DUMMYFUNCTION("IMPORTRANGE(""https://docs.google.com/spreadsheets/d/1XL5vhW3sbDhbH9Cz0tuDiY8C3ctxq1tqvaCgkFb8cCA/edit?usp=sharing"",""ยโสธร!J525"")"),1231582.24)</f>
        <v>1231582.24</v>
      </c>
      <c r="K630" s="343">
        <f t="shared" ca="1" si="129"/>
        <v>26.863264567786448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IFERROR(__xludf.DUMMYFUNCTION("IMPORTRANGE(""https://docs.google.com/spreadsheets/d/1XL5vhW3sbDhbH9Cz0tuDiY8C3ctxq1tqvaCgkFb8cCA/edit?usp=sharing"",""ยโสธร!I526"")"),275)</f>
        <v>275</v>
      </c>
      <c r="J631" s="342">
        <f ca="1">IFERROR(__xludf.DUMMYFUNCTION("IMPORTRANGE(""https://docs.google.com/spreadsheets/d/1XL5vhW3sbDhbH9Cz0tuDiY8C3ctxq1tqvaCgkFb8cCA/edit?usp=sharing"",""ยโสธร!J526"")"),162)</f>
        <v>162</v>
      </c>
      <c r="K631" s="343">
        <f t="shared" ca="1" si="129"/>
        <v>58.909090909090907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IFERROR(__xludf.DUMMYFUNCTION("IMPORTRANGE(""https://docs.google.com/spreadsheets/d/1XL5vhW3sbDhbH9Cz0tuDiY8C3ctxq1tqvaCgkFb8cCA/edit?usp=sharing"",""ยโสธร!I527"")"),0)</f>
        <v>0</v>
      </c>
      <c r="J632" s="342">
        <f ca="1">IFERROR(__xludf.DUMMYFUNCTION("IMPORTRANGE(""https://docs.google.com/spreadsheets/d/1XL5vhW3sbDhbH9Cz0tuDiY8C3ctxq1tqvaCgkFb8cCA/edit?usp=sharing"",""ยโสธร!J527"")"),81404.74)</f>
        <v>81404.740000000005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IFERROR(__xludf.DUMMYFUNCTION("IMPORTRANGE(""https://docs.google.com/spreadsheets/d/1XL5vhW3sbDhbH9Cz0tuDiY8C3ctxq1tqvaCgkFb8cCA/edit?usp=sharing"",""ยโสธร!I528"")"),0)</f>
        <v>0</v>
      </c>
      <c r="J633" s="342">
        <f ca="1">IFERROR(__xludf.DUMMYFUNCTION("IMPORTRANGE(""https://docs.google.com/spreadsheets/d/1XL5vhW3sbDhbH9Cz0tuDiY8C3ctxq1tqvaCgkFb8cCA/edit?usp=sharing"",""ยโสธร!J528"")"),5)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IFERROR(__xludf.DUMMYFUNCTION("IMPORTRANGE(""https://docs.google.com/spreadsheets/d/1XL5vhW3sbDhbH9Cz0tuDiY8C3ctxq1tqvaCgkFb8cCA/edit?usp=sharing"",""ยโสธร!I529"")"),7700000)</f>
        <v>7700000</v>
      </c>
      <c r="J634" s="342">
        <f ca="1">IFERROR(__xludf.DUMMYFUNCTION("IMPORTRANGE(""https://docs.google.com/spreadsheets/d/1XL5vhW3sbDhbH9Cz0tuDiY8C3ctxq1tqvaCgkFb8cCA/edit?usp=sharing"",""ยโสธร!J529"")"),7700000)</f>
        <v>7700000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IFERROR(__xludf.DUMMYFUNCTION("IMPORTRANGE(""https://docs.google.com/spreadsheets/d/1XL5vhW3sbDhbH9Cz0tuDiY8C3ctxq1tqvaCgkFb8cCA/edit?usp=sharing"",""ยโสธร!I530"")"),300)</f>
        <v>300</v>
      </c>
      <c r="J635" s="505">
        <f ca="1">IFERROR(__xludf.DUMMYFUNCTION("IMPORTRANGE(""https://docs.google.com/spreadsheets/d/1XL5vhW3sbDhbH9Cz0tuDiY8C3ctxq1tqvaCgkFb8cCA/edit?usp=sharing"",""ยโสธร!J530"")"),243)</f>
        <v>243</v>
      </c>
      <c r="K635" s="487">
        <f t="shared" ca="1" si="129"/>
        <v>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IFERROR(__xludf.DUMMYFUNCTION("IMPORTRANGE(""https://docs.google.com/spreadsheets/d/1XL5vhW3sbDhbH9Cz0tuDiY8C3ctxq1tqvaCgkFb8cCA/edit#gid=346597447"",""ยโสธร!J541"")"),0)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IFERROR(__xludf.DUMMYFUNCTION("IMPORTRANGE(""https://docs.google.com/spreadsheets/d/1XL5vhW3sbDhbH9Cz0tuDiY8C3ctxq1tqvaCgkFb8cCA/edit#gid=346597447"",""ยโสธร!J542"")"),0)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IFERROR(__xludf.DUMMYFUNCTION("IMPORTRANGE(""https://docs.google.com/spreadsheets/d/1XL5vhW3sbDhbH9Cz0tuDiY8C3ctxq1tqvaCgkFb8cCA/edit#gid=346597447"",""ยโสธร!I543"")"),0)</f>
        <v>0</v>
      </c>
      <c r="J648" s="586">
        <f ca="1">IFERROR(__xludf.DUMMYFUNCTION("IMPORTRANGE(""https://docs.google.com/spreadsheets/d/1XL5vhW3sbDhbH9Cz0tuDiY8C3ctxq1tqvaCgkFb8cCA/edit#gid=346597447"",""ยโสธร!J543"")"),0)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IFERROR(__xludf.DUMMYFUNCTION("IMPORTRANGE(""https://docs.google.com/spreadsheets/d/1XL5vhW3sbDhbH9Cz0tuDiY8C3ctxq1tqvaCgkFb8cCA/edit#gid=346597447"",""ยโสธร!L543"")"),0)</f>
        <v>0</v>
      </c>
      <c r="M648" s="571"/>
      <c r="N648" s="588">
        <f ca="1">IFERROR(__xludf.DUMMYFUNCTION("IMPORTRANGE(""https://docs.google.com/spreadsheets/d/1XL5vhW3sbDhbH9Cz0tuDiY8C3ctxq1tqvaCgkFb8cCA/edit#gid=346597447"",""ยโสธร!M543"")"),0)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IFERROR(__xludf.DUMMYFUNCTION("IMPORTRANGE(""https://docs.google.com/spreadsheets/d/1XL5vhW3sbDhbH9Cz0tuDiY8C3ctxq1tqvaCgkFb8cCA/edit#gid=346597447"",""ยโสธร!I544"")"),0)</f>
        <v>0</v>
      </c>
      <c r="J649" s="586">
        <f ca="1">IFERROR(__xludf.DUMMYFUNCTION("IMPORTRANGE(""https://docs.google.com/spreadsheets/d/1XL5vhW3sbDhbH9Cz0tuDiY8C3ctxq1tqvaCgkFb8cCA/edit#gid=346597447"",""ยโสธร!J544"")"),0)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IFERROR(__xludf.DUMMYFUNCTION("IMPORTRANGE(""https://docs.google.com/spreadsheets/d/1XL5vhW3sbDhbH9Cz0tuDiY8C3ctxq1tqvaCgkFb8cCA/edit#gid=346597447"",""ยโสธร!L544"")"),0)</f>
        <v>0</v>
      </c>
      <c r="M649" s="571"/>
      <c r="N649" s="588">
        <f ca="1">IFERROR(__xludf.DUMMYFUNCTION("IMPORTRANGE(""https://docs.google.com/spreadsheets/d/1XL5vhW3sbDhbH9Cz0tuDiY8C3ctxq1tqvaCgkFb8cCA/edit#gid=346597447"",""ยโสธร!M544"")"),0)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IFERROR(__xludf.DUMMYFUNCTION("IMPORTRANGE(""https://docs.google.com/spreadsheets/d/1XL5vhW3sbDhbH9Cz0tuDiY8C3ctxq1tqvaCgkFb8cCA/edit#gid=346597447"",""ยโสธร!I545"")"),0)</f>
        <v>0</v>
      </c>
      <c r="J650" s="586">
        <f ca="1">IFERROR(__xludf.DUMMYFUNCTION("IMPORTRANGE(""https://docs.google.com/spreadsheets/d/1XL5vhW3sbDhbH9Cz0tuDiY8C3ctxq1tqvaCgkFb8cCA/edit#gid=346597447"",""ยโสธร!J545"")"),0)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IFERROR(__xludf.DUMMYFUNCTION("IMPORTRANGE(""https://docs.google.com/spreadsheets/d/1XL5vhW3sbDhbH9Cz0tuDiY8C3ctxq1tqvaCgkFb8cCA/edit#gid=346597447"",""ยโสธร!L545"")"),0)</f>
        <v>0</v>
      </c>
      <c r="M650" s="571"/>
      <c r="N650" s="588">
        <f ca="1">IFERROR(__xludf.DUMMYFUNCTION("IMPORTRANGE(""https://docs.google.com/spreadsheets/d/1XL5vhW3sbDhbH9Cz0tuDiY8C3ctxq1tqvaCgkFb8cCA/edit#gid=346597447"",""ยโสธร!M545"")"),0)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IFERROR(__xludf.DUMMYFUNCTION("IMPORTRANGE(""https://docs.google.com/spreadsheets/d/1XL5vhW3sbDhbH9Cz0tuDiY8C3ctxq1tqvaCgkFb8cCA/edit#gid=346597447"",""ยโสธร!I546"")"),0)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IFERROR(__xludf.DUMMYFUNCTION("IMPORTRANGE(""https://docs.google.com/spreadsheets/d/1XL5vhW3sbDhbH9Cz0tuDiY8C3ctxq1tqvaCgkFb8cCA/edit#gid=346597447"",""ยโสธร!L546"")"),0)</f>
        <v>0</v>
      </c>
      <c r="M651" s="571"/>
      <c r="N651" s="588">
        <f ca="1">IFERROR(__xludf.DUMMYFUNCTION("IMPORTRANGE(""https://docs.google.com/spreadsheets/d/1XL5vhW3sbDhbH9Cz0tuDiY8C3ctxq1tqvaCgkFb8cCA/edit#gid=346597447"",""ยโสธร!M546"")"),0)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IFERROR(__xludf.DUMMYFUNCTION("IMPORTRANGE(""https://docs.google.com/spreadsheets/d/1XL5vhW3sbDhbH9Cz0tuDiY8C3ctxq1tqvaCgkFb8cCA/edit#gid=346597447"",""ยโสธร!J547"")"),0)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IFERROR(__xludf.DUMMYFUNCTION("IMPORTRANGE(""https://docs.google.com/spreadsheets/d/1XL5vhW3sbDhbH9Cz0tuDiY8C3ctxq1tqvaCgkFb8cCA/edit#gid=346597447"",""ยโสธร!J548"")"),0)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IFERROR(__xludf.DUMMYFUNCTION("IMPORTRANGE(""https://docs.google.com/spreadsheets/d/1XL5vhW3sbDhbH9Cz0tuDiY8C3ctxq1tqvaCgkFb8cCA/edit#gid=346597447"",""ยโสธร!J550"")"),0)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IFERROR(__xludf.DUMMYFUNCTION("IMPORTRANGE(""https://docs.google.com/spreadsheets/d/1XL5vhW3sbDhbH9Cz0tuDiY8C3ctxq1tqvaCgkFb8cCA/edit#gid=346597447"",""ยโสธร!J551"")"),0)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IFERROR(__xludf.DUMMYFUNCTION("IMPORTRANGE(""https://docs.google.com/spreadsheets/d/1XL5vhW3sbDhbH9Cz0tuDiY8C3ctxq1tqvaCgkFb8cCA/edit#gid=346597447"",""ยโสธร!J552"")"),0)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IFERROR(__xludf.DUMMYFUNCTION("IMPORTRANGE(""https://docs.google.com/spreadsheets/d/1XL5vhW3sbDhbH9Cz0tuDiY8C3ctxq1tqvaCgkFb8cCA/edit#gid=346597447"",""ยโสธร!J553"")"),0)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IFERROR(__xludf.DUMMYFUNCTION("IMPORTRANGE(""https://docs.google.com/spreadsheets/d/1XL5vhW3sbDhbH9Cz0tuDiY8C3ctxq1tqvaCgkFb8cCA/edit#gid=346597447"",""ยโสธร!J554"")"),0)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IFERROR(__xludf.DUMMYFUNCTION("IMPORTRANGE(""https://docs.google.com/spreadsheets/d/1XL5vhW3sbDhbH9Cz0tuDiY8C3ctxq1tqvaCgkFb8cCA/edit#gid=346597447"",""ยโสธร!J555"")"),0)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IFERROR(__xludf.DUMMYFUNCTION("IMPORTRANGE(""https://docs.google.com/spreadsheets/d/1XL5vhW3sbDhbH9Cz0tuDiY8C3ctxq1tqvaCgkFb8cCA/edit#gid=346597447"",""ยโสธร!J556"")"),0)</f>
        <v>0</v>
      </c>
      <c r="K661" s="587"/>
      <c r="L661" s="572">
        <f ca="1">IFERROR(__xludf.DUMMYFUNCTION("IMPORTRANGE(""https://docs.google.com/spreadsheets/d/1XL5vhW3sbDhbH9Cz0tuDiY8C3ctxq1tqvaCgkFb8cCA/edit#gid=346597447"",""ยโสธร!L556"")"),0)</f>
        <v>0</v>
      </c>
      <c r="M661" s="571"/>
      <c r="N661" s="588">
        <f ca="1">IFERROR(__xludf.DUMMYFUNCTION("IMPORTRANGE(""https://docs.google.com/spreadsheets/d/1XL5vhW3sbDhbH9Cz0tuDiY8C3ctxq1tqvaCgkFb8cCA/edit#gid=346597447"",""ยโสธร!M556"")"),0)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IFERROR(__xludf.DUMMYFUNCTION("IMPORTRANGE(""https://docs.google.com/spreadsheets/d/1XL5vhW3sbDhbH9Cz0tuDiY8C3ctxq1tqvaCgkFb8cCA/edit#gid=346597447"",""ยโสธร!J557"")"),0)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IFERROR(__xludf.DUMMYFUNCTION("IMPORTRANGE(""https://docs.google.com/spreadsheets/d/1XL5vhW3sbDhbH9Cz0tuDiY8C3ctxq1tqvaCgkFb8cCA/edit#gid=346597447"",""ยโสธร!I558"")"),0)</f>
        <v>0</v>
      </c>
      <c r="J663" s="586">
        <f ca="1">IFERROR(__xludf.DUMMYFUNCTION("IMPORTRANGE(""https://docs.google.com/spreadsheets/d/1XL5vhW3sbDhbH9Cz0tuDiY8C3ctxq1tqvaCgkFb8cCA/edit#gid=346597447"",""ยโสธร!J558"")"),0)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IFERROR(__xludf.DUMMYFUNCTION("IMPORTRANGE(""https://docs.google.com/spreadsheets/d/1XL5vhW3sbDhbH9Cz0tuDiY8C3ctxq1tqvaCgkFb8cCA/edit#gid=346597447"",""ยโสธร!I560"")"),0)</f>
        <v>0</v>
      </c>
      <c r="J665" s="586">
        <f ca="1">IFERROR(__xludf.DUMMYFUNCTION("IMPORTRANGE(""https://docs.google.com/spreadsheets/d/1XL5vhW3sbDhbH9Cz0tuDiY8C3ctxq1tqvaCgkFb8cCA/edit#gid=346597447"",""ยโสธร!J560"")"),0)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IFERROR(__xludf.DUMMYFUNCTION("IMPORTRANGE(""https://docs.google.com/spreadsheets/d/1XL5vhW3sbDhbH9Cz0tuDiY8C3ctxq1tqvaCgkFb8cCA/edit#gid=346597447"",""ยโสธร!L560"")"),0)</f>
        <v>0</v>
      </c>
      <c r="M665" s="571"/>
      <c r="N665" s="588">
        <f ca="1">IFERROR(__xludf.DUMMYFUNCTION("IMPORTRANGE(""https://docs.google.com/spreadsheets/d/1XL5vhW3sbDhbH9Cz0tuDiY8C3ctxq1tqvaCgkFb8cCA/edit#gid=346597447"",""ยโสธร!M560"")"),0)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IFERROR(__xludf.DUMMYFUNCTION("IMPORTRANGE(""https://docs.google.com/spreadsheets/d/1XL5vhW3sbDhbH9Cz0tuDiY8C3ctxq1tqvaCgkFb8cCA/edit#gid=346597447"",""ยโสธร!J561"")"),0)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IFERROR(__xludf.DUMMYFUNCTION("IMPORTRANGE(""https://docs.google.com/spreadsheets/d/1XL5vhW3sbDhbH9Cz0tuDiY8C3ctxq1tqvaCgkFb8cCA/edit#gid=346597447"",""ยโสธร!J562"")"),0)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IFERROR(__xludf.DUMMYFUNCTION("IMPORTRANGE(""https://docs.google.com/spreadsheets/d/1XL5vhW3sbDhbH9Cz0tuDiY8C3ctxq1tqvaCgkFb8cCA/edit#gid=346597447"",""ยโสธร!I563"")"),0)</f>
        <v>0</v>
      </c>
      <c r="J668" s="586">
        <f ca="1">IFERROR(__xludf.DUMMYFUNCTION("IMPORTRANGE(""https://docs.google.com/spreadsheets/d/1XL5vhW3sbDhbH9Cz0tuDiY8C3ctxq1tqvaCgkFb8cCA/edit#gid=346597447"",""ยโสธร!J563"")"),0)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IFERROR(__xludf.DUMMYFUNCTION("IMPORTRANGE(""https://docs.google.com/spreadsheets/d/1XL5vhW3sbDhbH9Cz0tuDiY8C3ctxq1tqvaCgkFb8cCA/edit#gid=346597447"",""ยโสธร!L563"")"),0)</f>
        <v>0</v>
      </c>
      <c r="M668" s="571"/>
      <c r="N668" s="588">
        <f ca="1">IFERROR(__xludf.DUMMYFUNCTION("IMPORTRANGE(""https://docs.google.com/spreadsheets/d/1XL5vhW3sbDhbH9Cz0tuDiY8C3ctxq1tqvaCgkFb8cCA/edit#gid=346597447"",""ยโสธร!M563"")"),0)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IFERROR(__xludf.DUMMYFUNCTION("IMPORTRANGE(""https://docs.google.com/spreadsheets/d/1XL5vhW3sbDhbH9Cz0tuDiY8C3ctxq1tqvaCgkFb8cCA/edit#gid=346597447"",""ยโสธร!J564"")"),0)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IFERROR(__xludf.DUMMYFUNCTION("IMPORTRANGE(""https://docs.google.com/spreadsheets/d/1XL5vhW3sbDhbH9Cz0tuDiY8C3ctxq1tqvaCgkFb8cCA/edit#gid=346597447"",""ยโสธร!J565"")"),0)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IFERROR(__xludf.DUMMYFUNCTION("IMPORTRANGE(""https://docs.google.com/spreadsheets/d/1XL5vhW3sbDhbH9Cz0tuDiY8C3ctxq1tqvaCgkFb8cCA/edit#gid=346597447"",""ยโสธร!I566"")"),0)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IFERROR(__xludf.DUMMYFUNCTION("IMPORTRANGE(""https://docs.google.com/spreadsheets/d/1XL5vhW3sbDhbH9Cz0tuDiY8C3ctxq1tqvaCgkFb8cCA/edit#gid=346597447"",""ยโสธร!L566"")"),0)</f>
        <v>0</v>
      </c>
      <c r="M671" s="571"/>
      <c r="N671" s="588">
        <f ca="1">IFERROR(__xludf.DUMMYFUNCTION("IMPORTRANGE(""https://docs.google.com/spreadsheets/d/1XL5vhW3sbDhbH9Cz0tuDiY8C3ctxq1tqvaCgkFb8cCA/edit#gid=346597447"",""ยโสธร!M566"")"),0)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IFERROR(__xludf.DUMMYFUNCTION("IMPORTRANGE(""https://docs.google.com/spreadsheets/d/1XL5vhW3sbDhbH9Cz0tuDiY8C3ctxq1tqvaCgkFb8cCA/edit#gid=346597447"",""ยโสธร!J567"")"),0)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IFERROR(__xludf.DUMMYFUNCTION("IMPORTRANGE(""https://docs.google.com/spreadsheets/d/1XL5vhW3sbDhbH9Cz0tuDiY8C3ctxq1tqvaCgkFb8cCA/edit#gid=346597447"",""ยโสธร!J568"")"),0)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IFERROR(__xludf.DUMMYFUNCTION("IMPORTRANGE(""https://docs.google.com/spreadsheets/d/1XL5vhW3sbDhbH9Cz0tuDiY8C3ctxq1tqvaCgkFb8cCA/edit#gid=346597447"",""ยโสธร!J569"")"),0)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IFERROR(__xludf.DUMMYFUNCTION("IMPORTRANGE(""https://docs.google.com/spreadsheets/d/1XL5vhW3sbDhbH9Cz0tuDiY8C3ctxq1tqvaCgkFb8cCA/edit#gid=346597447"",""ยโสธร!J570"")"),0)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IFERROR(__xludf.DUMMYFUNCTION("IMPORTRANGE(""https://docs.google.com/spreadsheets/d/1XL5vhW3sbDhbH9Cz0tuDiY8C3ctxq1tqvaCgkFb8cCA/edit#gid=346597447"",""ยโสธร!J571"")"),0)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IFERROR(__xludf.DUMMYFUNCTION("IMPORTRANGE(""https://docs.google.com/spreadsheets/d/1XL5vhW3sbDhbH9Cz0tuDiY8C3ctxq1tqvaCgkFb8cCA/edit#gid=346597447"",""ยโสธร!J572"")"),0)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7161481</v>
      </c>
      <c r="M8" s="23">
        <f t="shared" ca="1" si="0"/>
        <v>4301598</v>
      </c>
      <c r="N8" s="23">
        <f t="shared" ca="1" si="0"/>
        <v>6902699.209999999</v>
      </c>
      <c r="O8" s="22">
        <f t="shared" ref="O8:O16" ca="1" si="1">IF(L8&gt;0,N8*100/L8,0)</f>
        <v>96.386476624039062</v>
      </c>
      <c r="P8" s="22">
        <f t="shared" ref="P8:P16" ca="1" si="2">IF(M8&gt;0,N8*100/M8,0)</f>
        <v>160.46825412323511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7161481</v>
      </c>
      <c r="M10" s="30">
        <f t="shared" ca="1" si="4"/>
        <v>4301598</v>
      </c>
      <c r="N10" s="30">
        <f t="shared" ca="1" si="4"/>
        <v>6902699.209999999</v>
      </c>
      <c r="O10" s="29">
        <f t="shared" ca="1" si="1"/>
        <v>96.386476624039062</v>
      </c>
      <c r="P10" s="29">
        <f t="shared" ca="1" si="2"/>
        <v>160.46825412323511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6975981</v>
      </c>
      <c r="M12" s="38">
        <f t="shared" ca="1" si="6"/>
        <v>4116098</v>
      </c>
      <c r="N12" s="38">
        <f t="shared" ca="1" si="6"/>
        <v>6718699.209999999</v>
      </c>
      <c r="O12" s="38">
        <f t="shared" ca="1" si="1"/>
        <v>96.311890901078982</v>
      </c>
      <c r="P12" s="38">
        <f t="shared" ca="1" si="2"/>
        <v>163.22981644266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4434881</v>
      </c>
      <c r="M14" s="38">
        <f t="shared" si="8"/>
        <v>0</v>
      </c>
      <c r="N14" s="38">
        <f t="shared" ca="1" si="8"/>
        <v>2816534.9999999991</v>
      </c>
      <c r="O14" s="38">
        <f t="shared" ca="1" si="1"/>
        <v>63.508693919859375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185500</v>
      </c>
      <c r="M16" s="38">
        <f t="shared" ca="1" si="10"/>
        <v>185500</v>
      </c>
      <c r="N16" s="38">
        <f t="shared" ca="1" si="10"/>
        <v>184000</v>
      </c>
      <c r="O16" s="49">
        <f t="shared" ca="1" si="1"/>
        <v>99.191374663072779</v>
      </c>
      <c r="P16" s="49">
        <f t="shared" ca="1" si="2"/>
        <v>99.191374663072779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4275628</v>
      </c>
      <c r="M18" s="23">
        <f t="shared" ca="1" si="11"/>
        <v>4301598</v>
      </c>
      <c r="N18" s="23">
        <f t="shared" ca="1" si="11"/>
        <v>4086164.21</v>
      </c>
      <c r="O18" s="22">
        <f t="shared" ref="O18:O20" ca="1" si="12">IF(L18&gt;0,N18*100/L18,0)</f>
        <v>95.568749432831851</v>
      </c>
      <c r="P18" s="22">
        <f t="shared" ref="P18:P26" ca="1" si="13">IF(M18&gt;0,N18*100/M18,0)</f>
        <v>94.99177305736147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4275628</v>
      </c>
      <c r="M20" s="30">
        <f t="shared" ca="1" si="15"/>
        <v>4301598</v>
      </c>
      <c r="N20" s="30">
        <f t="shared" ca="1" si="15"/>
        <v>4086164.21</v>
      </c>
      <c r="O20" s="29">
        <f t="shared" ca="1" si="12"/>
        <v>95.568749432831851</v>
      </c>
      <c r="P20" s="29">
        <f t="shared" ca="1" si="13"/>
        <v>94.99177305736147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4090128</v>
      </c>
      <c r="M22" s="41">
        <f t="shared" ca="1" si="18"/>
        <v>4116098</v>
      </c>
      <c r="N22" s="38">
        <f t="shared" ca="1" si="18"/>
        <v>3902164.21</v>
      </c>
      <c r="O22" s="38">
        <f t="shared" ca="1" si="17"/>
        <v>95.40445213450532</v>
      </c>
      <c r="P22" s="38">
        <f t="shared" ca="1" si="13"/>
        <v>94.802509804188333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1549028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185500</v>
      </c>
      <c r="M26" s="49">
        <f t="shared" ca="1" si="22"/>
        <v>185500</v>
      </c>
      <c r="N26" s="49">
        <f t="shared" ca="1" si="22"/>
        <v>184000</v>
      </c>
      <c r="O26" s="49">
        <f t="shared" ca="1" si="17"/>
        <v>99.191374663072779</v>
      </c>
      <c r="P26" s="49">
        <f t="shared" ca="1" si="13"/>
        <v>99.191374663072779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2885853</v>
      </c>
      <c r="M28" s="23">
        <f t="shared" si="23"/>
        <v>0</v>
      </c>
      <c r="N28" s="23">
        <f t="shared" ca="1" si="23"/>
        <v>2816534.9999999991</v>
      </c>
      <c r="O28" s="22">
        <f t="shared" ref="O28:O30" ca="1" si="24">IF(L28&gt;0,N28*100/L28,0)</f>
        <v>97.598006551269208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2885853</v>
      </c>
      <c r="M30" s="30">
        <f t="shared" si="27"/>
        <v>0</v>
      </c>
      <c r="N30" s="30">
        <f t="shared" ca="1" si="27"/>
        <v>2816534.9999999991</v>
      </c>
      <c r="O30" s="29">
        <f t="shared" ca="1" si="24"/>
        <v>97.598006551269208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2885853</v>
      </c>
      <c r="M32" s="38">
        <f t="shared" si="30"/>
        <v>0</v>
      </c>
      <c r="N32" s="38">
        <f t="shared" ca="1" si="30"/>
        <v>2816534.9999999991</v>
      </c>
      <c r="O32" s="38">
        <f t="shared" ca="1" si="29"/>
        <v>97.598006551269208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2885853</v>
      </c>
      <c r="M34" s="38">
        <f t="shared" si="32"/>
        <v>0</v>
      </c>
      <c r="N34" s="38">
        <f t="shared" ca="1" si="32"/>
        <v>2816534.9999999991</v>
      </c>
      <c r="O34" s="38">
        <f t="shared" ca="1" si="29"/>
        <v>97.598006551269208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4275628</v>
      </c>
      <c r="M37" s="54">
        <f t="shared" ca="1" si="33"/>
        <v>4301598</v>
      </c>
      <c r="N37" s="54">
        <f t="shared" ca="1" si="33"/>
        <v>4086164.21</v>
      </c>
      <c r="O37" s="55">
        <f t="shared" ca="1" si="29"/>
        <v>95.568749432831851</v>
      </c>
      <c r="P37" s="55">
        <f t="shared" ca="1" si="25"/>
        <v>94.99177305736147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904100</v>
      </c>
      <c r="N41" s="78">
        <f t="shared" ca="1" si="34"/>
        <v>854549.08</v>
      </c>
      <c r="O41" s="77">
        <f t="shared" ref="O41:O43" ca="1" si="35">IF(L41&gt;0,N41*100/L41,0)</f>
        <v>94.519309810861628</v>
      </c>
      <c r="P41" s="77">
        <f t="shared" ref="P41:P43" ca="1" si="36">IF(M41&gt;0,N41*100/M41,0)</f>
        <v>94.519309810861628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904100</v>
      </c>
      <c r="N43" s="78">
        <f t="shared" ca="1" si="38"/>
        <v>854549.08</v>
      </c>
      <c r="O43" s="77">
        <f t="shared" ca="1" si="35"/>
        <v>94.519309810861628</v>
      </c>
      <c r="P43" s="77">
        <f t="shared" ca="1" si="36"/>
        <v>94.519309810861628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623">
        <f ca="1">IFERROR(__xludf.DUMMYFUNCTION("IMPORTRANGE(""https://docs.google.com/spreadsheets/d/1Yj_ptqi66GCucihVvJfMjLAmec39IyEx_6qawtMGysU/edit?usp=sharing"",""สบก!Q48"")"),904100)</f>
        <v>904100</v>
      </c>
      <c r="N45" s="623">
        <f ca="1">IFERROR(__xludf.DUMMYFUNCTION("IMPORTRANGE(""https://docs.google.com/spreadsheets/d/1Yj_ptqi66GCucihVvJfMjLAmec39IyEx_6qawtMGysU/edit?usp=sharing"",""สบก!R48"")"),854549.08)</f>
        <v>854549.08</v>
      </c>
      <c r="O45" s="624">
        <f ca="1">IF(L45&gt;0,N45*100/L45,0)</f>
        <v>94.519309810861628</v>
      </c>
      <c r="P45" s="624">
        <f ca="1">IF(M45&gt;0,N45*100/M45,0)</f>
        <v>94.519309810861628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IFERROR(__xludf.DUMMYFUNCTION("IMPORTRANGE(""https://docs.google.com/spreadsheets/d/1Yj_ptqi66GCucihVvJfMjLAmec39IyEx_6qawtMGysU/edit?usp=sharing"",""สบก!M48"")"),904100)</f>
        <v>904100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IFERROR(__xludf.DUMMYFUNCTION("IMPORTRANGE(""https://docs.google.com/spreadsheets/d/1Yj_ptqi66GCucihVvJfMjLAmec39IyEx_6qawtMGysU/edit?usp=sharing"",""สบก!N48"")"),0)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IFERROR(__xludf.DUMMYFUNCTION("IMPORTRANGE(""https://docs.google.com/spreadsheets/d/1Yj_ptqi66GCucihVvJfMjLAmec39IyEx_6qawtMGysU/edit?usp=sharing"",""สบก!O48"")"),0)</f>
        <v>0</v>
      </c>
      <c r="M49" s="626"/>
      <c r="N49" s="623">
        <f ca="1">IFERROR(__xludf.DUMMYFUNCTION("IMPORTRANGE(""https://docs.google.com/spreadsheets/d/1Yj_ptqi66GCucihVvJfMjLAmec39IyEx_6qawtMGysU/edit?usp=sharing"",""สบก!S48"")"),0)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952550</v>
      </c>
      <c r="N53" s="121">
        <f t="shared" ca="1" si="39"/>
        <v>869210</v>
      </c>
      <c r="O53" s="120">
        <f t="shared" ref="O53:O55" ca="1" si="40">IF(L53&gt;0,N53*100/L53,0)</f>
        <v>88.767361111111114</v>
      </c>
      <c r="P53" s="120">
        <f t="shared" ref="P53:P55" ca="1" si="41">IF(M53&gt;0,N53*100/M53,0)</f>
        <v>91.25085297359719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952550</v>
      </c>
      <c r="N55" s="121">
        <f t="shared" ca="1" si="43"/>
        <v>869210</v>
      </c>
      <c r="O55" s="120">
        <f t="shared" ca="1" si="40"/>
        <v>88.767361111111114</v>
      </c>
      <c r="P55" s="120">
        <f t="shared" ca="1" si="41"/>
        <v>91.25085297359719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623">
        <f ca="1">IFERROR(__xludf.DUMMYFUNCTION("IMPORTRANGE(""https://docs.google.com/spreadsheets/d/1Yj_ptqi66GCucihVvJfMjLAmec39IyEx_6qawtMGysU/edit?usp=sharing"",""สบก!Z48"")"),952550)</f>
        <v>952550</v>
      </c>
      <c r="N57" s="623">
        <f ca="1">IFERROR(__xludf.DUMMYFUNCTION("IMPORTRANGE(""https://docs.google.com/spreadsheets/d/1Yj_ptqi66GCucihVvJfMjLAmec39IyEx_6qawtMGysU/edit?usp=sharing"",""สบก!AA48"")"),869210)</f>
        <v>869210</v>
      </c>
      <c r="O57" s="624">
        <f ca="1">IF(L57&gt;0,N57*100/L57,0)</f>
        <v>88.767361111111114</v>
      </c>
      <c r="P57" s="624">
        <f ca="1">IF(M57&gt;0,N57*100/M57,0)</f>
        <v>91.25085297359719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IFERROR(__xludf.DUMMYFUNCTION("IMPORTRANGE(""https://docs.google.com/spreadsheets/d/1Yj_ptqi66GCucihVvJfMjLAmec39IyEx_6qawtMGysU/edit?usp=sharing"",""สบก!V48"")"),979200)</f>
        <v>979200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IFERROR(__xludf.DUMMYFUNCTION("IMPORTRANGE(""https://docs.google.com/spreadsheets/d/1Yj_ptqi66GCucihVvJfMjLAmec39IyEx_6qawtMGysU/edit?usp=sharing"",""สบก!W48"")"),0)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IFERROR(__xludf.DUMMYFUNCTION("IMPORTRANGE(""https://docs.google.com/spreadsheets/d/1Yj_ptqi66GCucihVvJfMjLAmec39IyEx_6qawtMGysU/edit?usp=sharing"",""สบก!X48"")"),0)</f>
        <v>0</v>
      </c>
      <c r="M61" s="626"/>
      <c r="N61" s="623">
        <f ca="1">IFERROR(__xludf.DUMMYFUNCTION("IMPORTRANGE(""https://docs.google.com/spreadsheets/d/1Yj_ptqi66GCucihVvJfMjLAmec39IyEx_6qawtMGysU/edit?usp=sharing"",""สบก!AB48"")"),0)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894020</v>
      </c>
      <c r="N66" s="152">
        <f t="shared" ca="1" si="45"/>
        <v>859115.09</v>
      </c>
      <c r="O66" s="151">
        <f t="shared" ref="O66:O68" ca="1" si="46">IF(L66&gt;0,N66*100/L66,0)</f>
        <v>96.812608744647278</v>
      </c>
      <c r="P66" s="151">
        <f t="shared" ref="P66:P68" ca="1" si="47">IF(M66&gt;0,N66*100/M66,0)</f>
        <v>96.095734994742841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894020</v>
      </c>
      <c r="N68" s="157">
        <f t="shared" ca="1" si="49"/>
        <v>859115.09</v>
      </c>
      <c r="O68" s="156">
        <f t="shared" ca="1" si="46"/>
        <v>96.812608744647278</v>
      </c>
      <c r="P68" s="156">
        <f t="shared" ca="1" si="47"/>
        <v>96.095734994742841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887400</v>
      </c>
      <c r="M70" s="627">
        <f ca="1">IFERROR(__xludf.DUMMYFUNCTION("IMPORTRANGE(""https://docs.google.com/spreadsheets/d/1Yj_ptqi66GCucihVvJfMjLAmec39IyEx_6qawtMGysU/edit?usp=sharing"",""สบก!AI48"")"),894020)</f>
        <v>894020</v>
      </c>
      <c r="N70" s="628">
        <f ca="1">IFERROR(__xludf.DUMMYFUNCTION("IMPORTRANGE(""https://docs.google.com/spreadsheets/d/1Yj_ptqi66GCucihVvJfMjLAmec39IyEx_6qawtMGysU/edit?usp=sharing"",""สบก!AJ48"")"),859115.09)</f>
        <v>859115.09</v>
      </c>
      <c r="O70" s="169">
        <f ca="1">IF(L70&gt;0,N70*100/L70,0)</f>
        <v>96.812608744647278</v>
      </c>
      <c r="P70" s="169">
        <f ca="1">IF(M70&gt;0,N70*100/M70,0)</f>
        <v>96.095734994742841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IFERROR(__xludf.DUMMYFUNCTION("IMPORTRANGE(""https://docs.google.com/spreadsheets/d/1Yj_ptqi66GCucihVvJfMjLAmec39IyEx_6qawtMGysU/edit?usp=sharing"",""สบก!AF48"")"),424000)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IFERROR(__xludf.DUMMYFUNCTION("IMPORTRANGE(""https://docs.google.com/spreadsheets/d/1Yj_ptqi66GCucihVvJfMjLAmec39IyEx_6qawtMGysU/edit?usp=sharing"",""สบก!AG48"")"),0)</f>
        <v>0</v>
      </c>
      <c r="M74" s="626"/>
      <c r="N74" s="623">
        <f ca="1">IFERROR(__xludf.DUMMYFUNCTION("IMPORTRANGE(""https://docs.google.com/spreadsheets/d/1Yj_ptqi66GCucihVvJfMjLAmec39IyEx_6qawtMGysU/edit?usp=sharing"",""สบก!AK48"")"),0)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IFERROR(__xludf.DUMMYFUNCTION("IMPORTRANGE(""https://docs.google.com/spreadsheets/d/1XL5vhW3sbDhbH9Cz0tuDiY8C3ctxq1tqvaCgkFb8cCA/edit?usp=sharing"",""ร้อยเอ็ด!I28"")"),1)</f>
        <v>1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IFERROR(__xludf.DUMMYFUNCTION("IMPORTRANGE(""https://docs.google.com/spreadsheets/d/1Yj_ptqi66GCucihVvJfMjLAmec39IyEx_6qawtMGysU/edit?usp=sharing"",""สบก!AR48"")"),0)</f>
        <v>0</v>
      </c>
      <c r="N98" s="628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IFERROR(__xludf.DUMMYFUNCTION("IMPORTRANGE(""https://docs.google.com/spreadsheets/d/1Yj_ptqi66GCucihVvJfMjLAmec39IyEx_6qawtMGysU/edit?usp=sharing"",""สบก!AP48"")"),0)</f>
        <v>0</v>
      </c>
      <c r="M102" s="626"/>
      <c r="N102" s="623">
        <f ca="1">IFERROR(__xludf.DUMMYFUNCTION("IMPORTRANGE(""https://docs.google.com/spreadsheets/d/1Yj_ptqi66GCucihVvJfMjLAmec39IyEx_6qawtMGysU/edit?usp=sharing"",""สบก!AT48"")"),0)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14138</v>
      </c>
      <c r="M118" s="152">
        <f t="shared" ca="1" si="58"/>
        <v>14138</v>
      </c>
      <c r="N118" s="152">
        <f t="shared" ca="1" si="58"/>
        <v>14138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14138</v>
      </c>
      <c r="M120" s="157">
        <f t="shared" ca="1" si="62"/>
        <v>14138</v>
      </c>
      <c r="N120" s="157">
        <f t="shared" ca="1" si="62"/>
        <v>14138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14138</v>
      </c>
      <c r="M122" s="627">
        <f ca="1">IFERROR(__xludf.DUMMYFUNCTION("IMPORTRANGE(""https://docs.google.com/spreadsheets/d/1Yj_ptqi66GCucihVvJfMjLAmec39IyEx_6qawtMGysU/edit?usp=sharing"",""สบก!BA48"")"),14138)</f>
        <v>14138</v>
      </c>
      <c r="N122" s="628">
        <f ca="1">IFERROR(__xludf.DUMMYFUNCTION("IMPORTRANGE(""https://docs.google.com/spreadsheets/d/1Yj_ptqi66GCucihVvJfMjLAmec39IyEx_6qawtMGysU/edit?usp=sharing"",""สบก!BB48"")"),14138)</f>
        <v>14138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IFERROR(__xludf.DUMMYFUNCTION("IMPORTRANGE(""https://docs.google.com/spreadsheets/d/1Yj_ptqi66GCucihVvJfMjLAmec39IyEx_6qawtMGysU/edit?usp=sharing"",""สบก!AX48"")"),14138)</f>
        <v>14138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IFERROR(__xludf.DUMMYFUNCTION("IMPORTRANGE(""https://docs.google.com/spreadsheets/d/1Yj_ptqi66GCucihVvJfMjLAmec39IyEx_6qawtMGysU/edit?usp=sharing"",""สบก!AY48"")"),0)</f>
        <v>0</v>
      </c>
      <c r="M126" s="626"/>
      <c r="N126" s="623">
        <f ca="1">IFERROR(__xludf.DUMMYFUNCTION("IMPORTRANGE(""https://docs.google.com/spreadsheets/d/1Yj_ptqi66GCucihVvJfMjLAmec39IyEx_6qawtMGysU/edit?usp=sharing"",""สบก!BC48"")"),0)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84100</v>
      </c>
      <c r="M140" s="152">
        <f t="shared" ca="1" si="64"/>
        <v>84100</v>
      </c>
      <c r="N140" s="152">
        <f t="shared" ca="1" si="64"/>
        <v>84100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84100</v>
      </c>
      <c r="M142" s="157">
        <f t="shared" ca="1" si="68"/>
        <v>84100</v>
      </c>
      <c r="N142" s="157">
        <f t="shared" ca="1" si="68"/>
        <v>84100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84100</v>
      </c>
      <c r="M144" s="627">
        <f ca="1">IFERROR(__xludf.DUMMYFUNCTION("IMPORTRANGE(""https://docs.google.com/spreadsheets/d/1Yj_ptqi66GCucihVvJfMjLAmec39IyEx_6qawtMGysU/edit?usp=sharing"",""สบก!BJ48"")"),84100)</f>
        <v>84100</v>
      </c>
      <c r="N144" s="628">
        <f ca="1">IFERROR(__xludf.DUMMYFUNCTION("IMPORTRANGE(""https://docs.google.com/spreadsheets/d/1Yj_ptqi66GCucihVvJfMjLAmec39IyEx_6qawtMGysU/edit?usp=sharing"",""สบก!BK48"")"),84100)</f>
        <v>84100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IFERROR(__xludf.DUMMYFUNCTION("IMPORTRANGE(""https://docs.google.com/spreadsheets/d/1Yj_ptqi66GCucihVvJfMjLAmec39IyEx_6qawtMGysU/edit?usp=sharing"",""สบก!BG48"")"),84100)</f>
        <v>84100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IFERROR(__xludf.DUMMYFUNCTION("IMPORTRANGE(""https://docs.google.com/spreadsheets/d/1Yj_ptqi66GCucihVvJfMjLAmec39IyEx_6qawtMGysU/edit?usp=sharing"",""สบก!BH48"")"),0)</f>
        <v>0</v>
      </c>
      <c r="M148" s="626"/>
      <c r="N148" s="623">
        <f ca="1">IFERROR(__xludf.DUMMYFUNCTION("IMPORTRANGE(""https://docs.google.com/spreadsheets/d/1Yj_ptqi66GCucihVvJfMjLAmec39IyEx_6qawtMGysU/edit?usp=sharing"",""สบก!BL48"")"),0)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IFERROR(__xludf.DUMMYFUNCTION("IMPORTRANGE(""https://docs.google.com/spreadsheets/d/1XL5vhW3sbDhbH9Cz0tuDiY8C3ctxq1tqvaCgkFb8cCA/edit?usp=sharing"",""ร้อยเอ็ด!J84"")"),98)</f>
        <v>98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IFERROR(__xludf.DUMMYFUNCTION("IMPORTRANGE(""https://docs.google.com/spreadsheets/d/1XL5vhW3sbDhbH9Cz0tuDiY8C3ctxq1tqvaCgkFb8cCA/edit?usp=sharing"",""ร้อยเอ็ด!J85"")"),98)</f>
        <v>98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IFERROR(__xludf.DUMMYFUNCTION("IMPORTRANGE(""https://docs.google.com/spreadsheets/d/1XL5vhW3sbDhbH9Cz0tuDiY8C3ctxq1tqvaCgkFb8cCA/edit?usp=sharing"",""ร้อยเอ็ด!J88"")"),0)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IFERROR(__xludf.DUMMYFUNCTION("IMPORTRANGE(""https://docs.google.com/spreadsheets/d/1XL5vhW3sbDhbH9Cz0tuDiY8C3ctxq1tqvaCgkFb8cCA/edit?usp=sharing"",""ร้อยเอ็ด!I89"")"),3)</f>
        <v>3</v>
      </c>
      <c r="J164" s="285">
        <f ca="1">IFERROR(__xludf.DUMMYFUNCTION("IMPORTRANGE(""https://docs.google.com/spreadsheets/d/1XL5vhW3sbDhbH9Cz0tuDiY8C3ctxq1tqvaCgkFb8cCA/edit?usp=sharing"",""ร้อยเอ็ด!J89"")"),3)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IFERROR(__xludf.DUMMYFUNCTION("IMPORTRANGE(""https://docs.google.com/spreadsheets/d/1XL5vhW3sbDhbH9Cz0tuDiY8C3ctxq1tqvaCgkFb8cCA/edit?usp=sharing"",""ร้อยเอ็ด!I101"")"),0)</f>
        <v>0</v>
      </c>
      <c r="J176" s="285">
        <f ca="1">IFERROR(__xludf.DUMMYFUNCTION("IMPORTRANGE(""https://docs.google.com/spreadsheets/d/1XL5vhW3sbDhbH9Cz0tuDiY8C3ctxq1tqvaCgkFb8cCA/edit?usp=sharing"",""ร้อยเอ็ด!J101"")"),0)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IFERROR(__xludf.DUMMYFUNCTION("IMPORTRANGE(""https://docs.google.com/spreadsheets/d/1XL5vhW3sbDhbH9Cz0tuDiY8C3ctxq1tqvaCgkFb8cCA/edit?usp=sharing"",""ร้อยเอ็ด!I114"")"),64000)</f>
        <v>64000</v>
      </c>
      <c r="J189" s="285">
        <f ca="1">IFERROR(__xludf.DUMMYFUNCTION("IMPORTRANGE(""https://docs.google.com/spreadsheets/d/1XL5vhW3sbDhbH9Cz0tuDiY8C3ctxq1tqvaCgkFb8cCA/edit?usp=sharing"",""ร้อยเอ็ด!J114"")"),64000)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IFERROR(__xludf.DUMMYFUNCTION("IMPORTRANGE(""https://docs.google.com/spreadsheets/d/1XL5vhW3sbDhbH9Cz0tuDiY8C3ctxq1tqvaCgkFb8cCA/edit?usp=sharing"",""ร้อยเอ็ด!J128"")"),0)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IFERROR(__xludf.DUMMYFUNCTION("IMPORTRANGE(""https://docs.google.com/spreadsheets/d/1XL5vhW3sbDhbH9Cz0tuDiY8C3ctxq1tqvaCgkFb8cCA/edit?usp=sharing"",""ร้อยเอ็ด!I129"")"),0)</f>
        <v>0</v>
      </c>
      <c r="J204" s="285">
        <f ca="1">IFERROR(__xludf.DUMMYFUNCTION("IMPORTRANGE(""https://docs.google.com/spreadsheets/d/1XL5vhW3sbDhbH9Cz0tuDiY8C3ctxq1tqvaCgkFb8cCA/edit?usp=sharing"",""ร้อยเอ็ด!J129"")"),0)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627">
        <f ca="1">IFERROR(__xludf.DUMMYFUNCTION("IMPORTRANGE(""https://docs.google.com/spreadsheets/d/1Yj_ptqi66GCucihVvJfMjLAmec39IyEx_6qawtMGysU/edit?usp=sharing"",""สบก!BS48"")"),16550)</f>
        <v>16550</v>
      </c>
      <c r="N224" s="628">
        <f ca="1">IFERROR(__xludf.DUMMYFUNCTION("IMPORTRANGE(""https://docs.google.com/spreadsheets/d/1Yj_ptqi66GCucihVvJfMjLAmec39IyEx_6qawtMGysU/edit?usp=sharing"",""สบก!BT48"")"),16550)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IFERROR(__xludf.DUMMYFUNCTION("IMPORTRANGE(""https://docs.google.com/spreadsheets/d/1Yj_ptqi66GCucihVvJfMjLAmec39IyEx_6qawtMGysU/edit?usp=sharing"",""สบก!BP48"")"),16550)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IFERROR(__xludf.DUMMYFUNCTION("IMPORTRANGE(""https://docs.google.com/spreadsheets/d/1Yj_ptqi66GCucihVvJfMjLAmec39IyEx_6qawtMGysU/edit?usp=sharing"",""สบก!BQ48"")"),0)</f>
        <v>0</v>
      </c>
      <c r="M228" s="626"/>
      <c r="N228" s="623">
        <f ca="1">IFERROR(__xludf.DUMMYFUNCTION("IMPORTRANGE(""https://docs.google.com/spreadsheets/d/1Yj_ptqi66GCucihVvJfMjLAmec39IyEx_6qawtMGysU/edit?usp=sharing"",""สบก!BU48"")"),0)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IFERROR(__xludf.DUMMYFUNCTION("IMPORTRANGE(""https://docs.google.com/spreadsheets/d/1XL5vhW3sbDhbH9Cz0tuDiY8C3ctxq1tqvaCgkFb8cCA/edit?usp=sharing"",""ร้อยเอ็ด!I169"")"),0)</f>
        <v>0</v>
      </c>
      <c r="J249" s="317">
        <f ca="1">IFERROR(__xludf.DUMMYFUNCTION("IMPORTRANGE(""https://docs.google.com/spreadsheets/d/1XL5vhW3sbDhbH9Cz0tuDiY8C3ctxq1tqvaCgkFb8cCA/edit?usp=sharing"",""ร้อยเอ็ด!J169"")"),0)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IFERROR(__xludf.DUMMYFUNCTION("IMPORTRANGE(""https://docs.google.com/spreadsheets/d/1Yj_ptqi66GCucihVvJfMjLAmec39IyEx_6qawtMGysU/edit?usp=sharing"",""สบก!CB48"")"),0)</f>
        <v>0</v>
      </c>
      <c r="N254" s="628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IFERROR(__xludf.DUMMYFUNCTION("IMPORTRANGE(""https://docs.google.com/spreadsheets/d/1Yj_ptqi66GCucihVvJfMjLAmec39IyEx_6qawtMGysU/edit?usp=sharing"",""สบก!BZ48"")"),0)</f>
        <v>0</v>
      </c>
      <c r="M258" s="626"/>
      <c r="N258" s="623">
        <f ca="1">IFERROR(__xludf.DUMMYFUNCTION("IMPORTRANGE(""https://docs.google.com/spreadsheets/d/1Yj_ptqi66GCucihVvJfMjLAmec39IyEx_6qawtMGysU/edit?usp=sharing"",""สบก!CD48"")"),0)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IFERROR(__xludf.DUMMYFUNCTION("IMPORTRANGE(""https://docs.google.com/spreadsheets/d/1XL5vhW3sbDhbH9Cz0tuDiY8C3ctxq1tqvaCgkFb8cCA/edit?usp=sharing"",""ร้อยเอ็ด!J184"")"),0)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IFERROR(__xludf.DUMMYFUNCTION("IMPORTRANGE(""https://docs.google.com/spreadsheets/d/1XL5vhW3sbDhbH9Cz0tuDiY8C3ctxq1tqvaCgkFb8cCA/edit?usp=sharing"",""ร้อยเอ็ด!I185"")"),15)</f>
        <v>15</v>
      </c>
      <c r="J270" s="317">
        <f ca="1">IFERROR(__xludf.DUMMYFUNCTION("IMPORTRANGE(""https://docs.google.com/spreadsheets/d/1XL5vhW3sbDhbH9Cz0tuDiY8C3ctxq1tqvaCgkFb8cCA/edit?usp=sharing"",""ร้อยเอ็ด!J185"")"),15)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IFERROR(__xludf.DUMMYFUNCTION("IMPORTRANGE(""https://docs.google.com/spreadsheets/d/1Yj_ptqi66GCucihVvJfMjLAmec39IyEx_6qawtMGysU/edit?usp=sharing"",""สบก!CK48"")"),55200)</f>
        <v>55200</v>
      </c>
      <c r="N275" s="628">
        <f ca="1">IFERROR(__xludf.DUMMYFUNCTION("IMPORTRANGE(""https://docs.google.com/spreadsheets/d/1Yj_ptqi66GCucihVvJfMjLAmec39IyEx_6qawtMGysU/edit?usp=sharing"",""สบก!CL48"")"),55200)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IFERROR(__xludf.DUMMYFUNCTION("IMPORTRANGE(""https://docs.google.com/spreadsheets/d/1Yj_ptqi66GCucihVvJfMjLAmec39IyEx_6qawtMGysU/edit?usp=sharing"",""สบก!CI48"")"),0)</f>
        <v>0</v>
      </c>
      <c r="M279" s="626"/>
      <c r="N279" s="623">
        <f ca="1">IFERROR(__xludf.DUMMYFUNCTION("IMPORTRANGE(""https://docs.google.com/spreadsheets/d/1Yj_ptqi66GCucihVvJfMjLAmec39IyEx_6qawtMGysU/edit?usp=sharing"",""สบก!CM48"")"),0)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IFERROR(__xludf.DUMMYFUNCTION("IMPORTRANGE(""https://docs.google.com/spreadsheets/d/1XL5vhW3sbDhbH9Cz0tuDiY8C3ctxq1tqvaCgkFb8cCA/edit?usp=sharing"",""ร้อยเอ็ด!J197"")"),0)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IFERROR(__xludf.DUMMYFUNCTION("IMPORTRANGE(""https://docs.google.com/spreadsheets/d/1XL5vhW3sbDhbH9Cz0tuDiY8C3ctxq1tqvaCgkFb8cCA/edit?usp=sharing"",""ร้อยเอ็ด!I199"")"),0)</f>
        <v>0</v>
      </c>
      <c r="J289" s="317">
        <f ca="1">IFERROR(__xludf.DUMMYFUNCTION("IMPORTRANGE(""https://docs.google.com/spreadsheets/d/1XL5vhW3sbDhbH9Cz0tuDiY8C3ctxq1tqvaCgkFb8cCA/edit?usp=sharing"",""ร้อยเอ็ด!J199"")"),0)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IFERROR(__xludf.DUMMYFUNCTION("IMPORTRANGE(""https://docs.google.com/spreadsheets/d/1Yj_ptqi66GCucihVvJfMjLAmec39IyEx_6qawtMGysU/edit?usp=sharing"",""สบก!CT48"")"),0)</f>
        <v>0</v>
      </c>
      <c r="N294" s="628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IFERROR(__xludf.DUMMYFUNCTION("IMPORTRANGE(""https://docs.google.com/spreadsheets/d/1Yj_ptqi66GCucihVvJfMjLAmec39IyEx_6qawtMGysU/edit?usp=sharing"",""สบก!CR48"")"),0)</f>
        <v>0</v>
      </c>
      <c r="M298" s="626"/>
      <c r="N298" s="623">
        <f ca="1">IFERROR(__xludf.DUMMYFUNCTION("IMPORTRANGE(""https://docs.google.com/spreadsheets/d/1Yj_ptqi66GCucihVvJfMjLAmec39IyEx_6qawtMGysU/edit?usp=sharing"",""สบก!CV48"")"),0)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IFERROR(__xludf.DUMMYFUNCTION("IMPORTRANGE(""https://docs.google.com/spreadsheets/d/1XL5vhW3sbDhbH9Cz0tuDiY8C3ctxq1tqvaCgkFb8cCA/edit?usp=sharing"",""ร้อยเอ็ด!I214"")"),0)</f>
        <v>0</v>
      </c>
      <c r="J309" s="334">
        <f ca="1">IFERROR(__xludf.DUMMYFUNCTION("IMPORTRANGE(""https://docs.google.com/spreadsheets/d/1XL5vhW3sbDhbH9Cz0tuDiY8C3ctxq1tqvaCgkFb8cCA/edit?usp=sharing"",""ร้อยเอ็ด!J214"")"),0)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IFERROR(__xludf.DUMMYFUNCTION("IMPORTRANGE(""https://docs.google.com/spreadsheets/d/1Yj_ptqi66GCucihVvJfMjLAmec39IyEx_6qawtMGysU/edit?usp=sharing"",""สบก!DC48"")"),0)</f>
        <v>0</v>
      </c>
      <c r="N314" s="628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IFERROR(__xludf.DUMMYFUNCTION("IMPORTRANGE(""https://docs.google.com/spreadsheets/d/1Yj_ptqi66GCucihVvJfMjLAmec39IyEx_6qawtMGysU/edit?usp=sharing"",""สบก!DA48"")"),0)</f>
        <v>0</v>
      </c>
      <c r="M318" s="626"/>
      <c r="N318" s="623">
        <f ca="1">IFERROR(__xludf.DUMMYFUNCTION("IMPORTRANGE(""https://docs.google.com/spreadsheets/d/1Yj_ptqi66GCucihVvJfMjLAmec39IyEx_6qawtMGysU/edit?usp=sharing"",""สบก!DE48"")"),0)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IFERROR(__xludf.DUMMYFUNCTION("IMPORTRANGE(""https://docs.google.com/spreadsheets/d/1XL5vhW3sbDhbH9Cz0tuDiY8C3ctxq1tqvaCgkFb8cCA/edit?usp=sharing"",""ร้อยเอ็ด!I228"")"),1100)</f>
        <v>1100</v>
      </c>
      <c r="J328" s="340">
        <f ca="1">IFERROR(__xludf.DUMMYFUNCTION("IMPORTRANGE(""https://docs.google.com/spreadsheets/d/1XL5vhW3sbDhbH9Cz0tuDiY8C3ctxq1tqvaCgkFb8cCA/edit?usp=sharing"",""ร้อยเอ็ด!J228"")"),1120)</f>
        <v>1120</v>
      </c>
      <c r="K328" s="318">
        <f ca="1">IF(I328&gt;0,J328*100/I328,0)</f>
        <v>101.81818181818181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1334940</v>
      </c>
      <c r="M329" s="152">
        <f t="shared" ca="1" si="98"/>
        <v>1380940</v>
      </c>
      <c r="N329" s="152">
        <f t="shared" ca="1" si="98"/>
        <v>1333302.04</v>
      </c>
      <c r="O329" s="151">
        <f t="shared" ref="O329:O331" ca="1" si="99">IF(L329&gt;0,N329*100/L329,0)</f>
        <v>99.877300852472771</v>
      </c>
      <c r="P329" s="151">
        <f t="shared" ref="P329:P331" ca="1" si="100">IF(M329&gt;0,N329*100/M329,0)</f>
        <v>96.550323692557242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1334940</v>
      </c>
      <c r="M331" s="157">
        <f t="shared" ca="1" si="102"/>
        <v>1380940</v>
      </c>
      <c r="N331" s="157">
        <f t="shared" ca="1" si="102"/>
        <v>1333302.04</v>
      </c>
      <c r="O331" s="156">
        <f t="shared" ca="1" si="99"/>
        <v>99.877300852472771</v>
      </c>
      <c r="P331" s="156">
        <f t="shared" ca="1" si="100"/>
        <v>96.550323692557242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1149440</v>
      </c>
      <c r="M333" s="627">
        <f ca="1">IFERROR(__xludf.DUMMYFUNCTION("IMPORTRANGE(""https://docs.google.com/spreadsheets/d/1Yj_ptqi66GCucihVvJfMjLAmec39IyEx_6qawtMGysU/edit?usp=sharing"",""สบก!DL48"")"),1195440)</f>
        <v>1195440</v>
      </c>
      <c r="N333" s="628">
        <f ca="1">IFERROR(__xludf.DUMMYFUNCTION("IMPORTRANGE(""https://docs.google.com/spreadsheets/d/1Yj_ptqi66GCucihVvJfMjLAmec39IyEx_6qawtMGysU/edit?usp=sharing"",""สบก!DM48"")"),1149302.04)</f>
        <v>1149302.04</v>
      </c>
      <c r="O333" s="169">
        <f ca="1">IF(L333&gt;0,N333*100/L333,0)</f>
        <v>99.987997633630286</v>
      </c>
      <c r="P333" s="169">
        <f ca="1">IF(M333&gt;0,N333*100/M333,0)</f>
        <v>96.140503914876533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IFERROR(__xludf.DUMMYFUNCTION("IMPORTRANGE(""https://docs.google.com/spreadsheets/d/1Yj_ptqi66GCucihVvJfMjLAmec39IyEx_6qawtMGysU/edit?usp=sharing"",""สบก!DI48"")"),955040)</f>
        <v>955040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IFERROR(__xludf.DUMMYFUNCTION("IMPORTRANGE(""https://docs.google.com/spreadsheets/d/1Yj_ptqi66GCucihVvJfMjLAmec39IyEx_6qawtMGysU/edit?usp=sharing"",""สบก!DJ48"")"),185500)</f>
        <v>185500</v>
      </c>
      <c r="M337" s="626">
        <f ca="1">L337</f>
        <v>185500</v>
      </c>
      <c r="N337" s="623">
        <f ca="1">IFERROR(__xludf.DUMMYFUNCTION("IMPORTRANGE(""https://docs.google.com/spreadsheets/d/1Yj_ptqi66GCucihVvJfMjLAmec39IyEx_6qawtMGysU/edit?usp=sharing"",""สบก!DN48"")"),184000)</f>
        <v>184000</v>
      </c>
      <c r="O337" s="626">
        <f ca="1">IF(L337&gt;0,N337*100/L337,0)</f>
        <v>99.191374663072779</v>
      </c>
      <c r="P337" s="626">
        <f ca="1">IF(M337&gt;0,N337*100/M337,0)</f>
        <v>99.191374663072779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IFERROR(__xludf.DUMMYFUNCTION("IMPORTRANGE(""https://docs.google.com/spreadsheets/d/1XL5vhW3sbDhbH9Cz0tuDiY8C3ctxq1tqvaCgkFb8cCA/edit?usp=sharing"",""ร้อยเอ็ด!J234"")"),728)</f>
        <v>728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IFERROR(__xludf.DUMMYFUNCTION("IMPORTRANGE(""https://docs.google.com/spreadsheets/d/1XL5vhW3sbDhbH9Cz0tuDiY8C3ctxq1tqvaCgkFb8cCA/edit?usp=sharing"",""ร้อยเอ็ด!J235"")"),5560.45)</f>
        <v>5560.45</v>
      </c>
      <c r="K340" s="343">
        <f t="shared" ca="1" si="103"/>
        <v>86.882031249999997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IFERROR(__xludf.DUMMYFUNCTION("IMPORTRANGE(""https://docs.google.com/spreadsheets/d/1XL5vhW3sbDhbH9Cz0tuDiY8C3ctxq1tqvaCgkFb8cCA/edit?usp=sharing"",""ร้อยเอ็ด!J236"")"),1741)</f>
        <v>1741</v>
      </c>
      <c r="K341" s="343">
        <f t="shared" ca="1" si="103"/>
        <v>158.27272727272728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IFERROR(__xludf.DUMMYFUNCTION("IMPORTRANGE(""https://docs.google.com/spreadsheets/d/1XL5vhW3sbDhbH9Cz0tuDiY8C3ctxq1tqvaCgkFb8cCA/edit?usp=sharing"",""ร้อยเอ็ด!J237"")"),16812.3999999999)</f>
        <v>16812.3999999999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IFERROR(__xludf.DUMMYFUNCTION("IMPORTRANGE(""https://docs.google.com/spreadsheets/d/1XL5vhW3sbDhbH9Cz0tuDiY8C3ctxq1tqvaCgkFb8cCA/edit?usp=sharing"",""ร้อยเอ็ด!J240"")"),1120)</f>
        <v>1120</v>
      </c>
      <c r="K345" s="343">
        <f t="shared" ca="1" si="103"/>
        <v>101.81818181818181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IFERROR(__xludf.DUMMYFUNCTION("IMPORTRANGE(""https://docs.google.com/spreadsheets/d/1XL5vhW3sbDhbH9Cz0tuDiY8C3ctxq1tqvaCgkFb8cCA/edit?usp=sharing"",""ร้อยเอ็ด!J241"")"),10537.25)</f>
        <v>10537.25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IFERROR(__xludf.DUMMYFUNCTION("IMPORTRANGE(""https://docs.google.com/spreadsheets/d/1XL5vhW3sbDhbH9Cz0tuDiY8C3ctxq1tqvaCgkFb8cCA/edit?usp=sharing"",""ร้อยเอ็ด!L242"")"),2885853)</f>
        <v>2885853</v>
      </c>
      <c r="M347" s="358"/>
      <c r="N347" s="358">
        <f ca="1">IFERROR(__xludf.DUMMYFUNCTION("IMPORTRANGE(""https://docs.google.com/spreadsheets/d/1XL5vhW3sbDhbH9Cz0tuDiY8C3ctxq1tqvaCgkFb8cCA/edit?usp=sharing"",""ร้อยเอ็ด!M242"")"),2816535)</f>
        <v>2816535</v>
      </c>
      <c r="O347" s="358">
        <f ca="1">+IF(L347&gt;0,N347*100/L347,0)</f>
        <v>97.598006551269251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IFERROR(__xludf.DUMMYFUNCTION("IMPORTRANGE(""https://docs.google.com/spreadsheets/d/1XL5vhW3sbDhbH9Cz0tuDiY8C3ctxq1tqvaCgkFb8cCA/edit?usp=sharing"",""ร้อยเอ็ด!M244"")"),633830)</f>
        <v>633830</v>
      </c>
      <c r="O349" s="373">
        <f ca="1">+IF(L349&gt;0,N349*100/L349,0)</f>
        <v>98.294124032690789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IFERROR(__xludf.DUMMYFUNCTION("IMPORTRANGE(""https://docs.google.com/spreadsheets/d/1XL5vhW3sbDhbH9Cz0tuDiY8C3ctxq1tqvaCgkFb8cCA/edit?usp=sharing"",""ร้อยเอ็ด!L247"")"),644830)</f>
        <v>644830</v>
      </c>
      <c r="M352" s="165"/>
      <c r="N352" s="164">
        <f ca="1">IFERROR(__xludf.DUMMYFUNCTION("IMPORTRANGE(""https://docs.google.com/spreadsheets/d/1XL5vhW3sbDhbH9Cz0tuDiY8C3ctxq1tqvaCgkFb8cCA/edit?usp=sharing"",""ร้อยเอ็ด!M247"")"),633830)</f>
        <v>633830</v>
      </c>
      <c r="O352" s="165">
        <f t="shared" ca="1" si="105"/>
        <v>98.294124032690789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IFERROR(__xludf.DUMMYFUNCTION("IMPORTRANGE(""https://docs.google.com/spreadsheets/d/1XL5vhW3sbDhbH9Cz0tuDiY8C3ctxq1tqvaCgkFb8cCA/edit?usp=sharing"",""ร้อยเอ็ด!L249"")"),644830)</f>
        <v>644830</v>
      </c>
      <c r="M354" s="169"/>
      <c r="N354" s="168">
        <f ca="1">IFERROR(__xludf.DUMMYFUNCTION("IMPORTRANGE(""https://docs.google.com/spreadsheets/d/1XL5vhW3sbDhbH9Cz0tuDiY8C3ctxq1tqvaCgkFb8cCA/edit?usp=sharing"",""ร้อยเอ็ด!M249"")"),633830)</f>
        <v>633830</v>
      </c>
      <c r="O354" s="169">
        <f t="shared" ca="1" si="105"/>
        <v>98.294124032690789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IFERROR(__xludf.DUMMYFUNCTION("IMPORTRANGE(""https://docs.google.com/spreadsheets/d/1XL5vhW3sbDhbH9Cz0tuDiY8C3ctxq1tqvaCgkFb8cCA/edit?usp=sharing"",""ร้อยเอ็ด!M250"")"),101700)</f>
        <v>101700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IFERROR(__xludf.DUMMYFUNCTION("IMPORTRANGE(""https://docs.google.com/spreadsheets/d/1XL5vhW3sbDhbH9Cz0tuDiY8C3ctxq1tqvaCgkFb8cCA/edit?usp=sharing"",""ร้อยเอ็ด!M252"")"),145000)</f>
        <v>145000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IFERROR(__xludf.DUMMYFUNCTION("IMPORTRANGE(""https://docs.google.com/spreadsheets/d/1XL5vhW3sbDhbH9Cz0tuDiY8C3ctxq1tqvaCgkFb8cCA/edit?usp=sharing"",""ร้อยเอ็ด!M253"")"),36030)</f>
        <v>36030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IFERROR(__xludf.DUMMYFUNCTION("IMPORTRANGE(""https://docs.google.com/spreadsheets/d/1XL5vhW3sbDhbH9Cz0tuDiY8C3ctxq1tqvaCgkFb8cCA/edit?usp=sharing"",""ร้อยเอ็ด!M275"")"),1015967)</f>
        <v>1015967</v>
      </c>
      <c r="O380" s="373">
        <f ca="1">+IF(L380&gt;0,N380*100/L380,0)</f>
        <v>98.779508419865437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IFERROR(__xludf.DUMMYFUNCTION("IMPORTRANGE(""https://docs.google.com/spreadsheets/d/1XL5vhW3sbDhbH9Cz0tuDiY8C3ctxq1tqvaCgkFb8cCA/edit?usp=sharing"",""ร้อยเอ็ด!M278"")"),1015967)</f>
        <v>1015967</v>
      </c>
      <c r="O383" s="165">
        <f t="shared" ca="1" si="109"/>
        <v>98.779508419865437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IFERROR(__xludf.DUMMYFUNCTION("IMPORTRANGE(""https://docs.google.com/spreadsheets/d/1XL5vhW3sbDhbH9Cz0tuDiY8C3ctxq1tqvaCgkFb8cCA/edit?usp=sharing"",""ร้อยเอ็ด!M280"")"),1015967)</f>
        <v>1015967</v>
      </c>
      <c r="O385" s="169">
        <f t="shared" ca="1" si="109"/>
        <v>98.779508419865437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IFERROR(__xludf.DUMMYFUNCTION("IMPORTRANGE(""https://docs.google.com/spreadsheets/d/1XL5vhW3sbDhbH9Cz0tuDiY8C3ctxq1tqvaCgkFb8cCA/edit?usp=sharing"",""ร้อยเอ็ด!M281"")"),196280)</f>
        <v>196280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IFERROR(__xludf.DUMMYFUNCTION("IMPORTRANGE(""https://docs.google.com/spreadsheets/d/1XL5vhW3sbDhbH9Cz0tuDiY8C3ctxq1tqvaCgkFb8cCA/edit?usp=sharing"",""ร้อยเอ็ด!M283"")"),145000)</f>
        <v>145000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IFERROR(__xludf.DUMMYFUNCTION("IMPORTRANGE(""https://docs.google.com/spreadsheets/d/1XL5vhW3sbDhbH9Cz0tuDiY8C3ctxq1tqvaCgkFb8cCA/edit?usp=sharing"",""ร้อยเอ็ด!M284"")"),49687)</f>
        <v>49687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IFERROR(__xludf.DUMMYFUNCTION("IMPORTRANGE(""https://docs.google.com/spreadsheets/d/1XL5vhW3sbDhbH9Cz0tuDiY8C3ctxq1tqvaCgkFb8cCA/edit?usp=sharing"",""ร้อยเอ็ด!J295"")"),0)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IFERROR(__xludf.DUMMYFUNCTION("IMPORTRANGE(""https://docs.google.com/spreadsheets/d/1XL5vhW3sbDhbH9Cz0tuDiY8C3ctxq1tqvaCgkFb8cCA/edit?usp=sharing"",""ร้อยเอ็ด!M330"")"),85785)</f>
        <v>85785</v>
      </c>
      <c r="O435" s="412">
        <f t="shared" ref="O435:O439" ca="1" si="114">+IF(L435&gt;0,N435*100/L435,0)</f>
        <v>97.482954545454547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IFERROR(__xludf.DUMMYFUNCTION("IMPORTRANGE(""https://docs.google.com/spreadsheets/d/1XL5vhW3sbDhbH9Cz0tuDiY8C3ctxq1tqvaCgkFb8cCA/edit?usp=sharing"",""ร้อยเอ็ด!M332"")"),85785)</f>
        <v>85785</v>
      </c>
      <c r="O437" s="169">
        <f t="shared" ca="1" si="114"/>
        <v>97.482954545454547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IFERROR(__xludf.DUMMYFUNCTION("IMPORTRANGE(""https://docs.google.com/spreadsheets/d/1XL5vhW3sbDhbH9Cz0tuDiY8C3ctxq1tqvaCgkFb8cCA/edit?usp=sharing"",""ร้อยเอ็ด!M334"")"),85785)</f>
        <v>85785</v>
      </c>
      <c r="O439" s="169">
        <f t="shared" ca="1" si="114"/>
        <v>97.482954545454547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IFERROR(__xludf.DUMMYFUNCTION("IMPORTRANGE(""https://docs.google.com/spreadsheets/d/1XL5vhW3sbDhbH9Cz0tuDiY8C3ctxq1tqvaCgkFb8cCA/edit?usp=sharing"",""ร้อยเอ็ด!M335"")"),84775)</f>
        <v>84775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IFERROR(__xludf.DUMMYFUNCTION("IMPORTRANGE(""https://docs.google.com/spreadsheets/d/1XL5vhW3sbDhbH9Cz0tuDiY8C3ctxq1tqvaCgkFb8cCA/edit?usp=sharing"",""ร้อยเอ็ด!M338"")"),1010)</f>
        <v>1010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IFERROR(__xludf.DUMMYFUNCTION("IMPORTRANGE(""https://docs.google.com/spreadsheets/d/1XL5vhW3sbDhbH9Cz0tuDiY8C3ctxq1tqvaCgkFb8cCA/edit?usp=sharing"",""ร้อยเอ็ด!L350"")"),466753)</f>
        <v>466753</v>
      </c>
      <c r="M455" s="373"/>
      <c r="N455" s="373">
        <f ca="1">IFERROR(__xludf.DUMMYFUNCTION("IMPORTRANGE(""https://docs.google.com/spreadsheets/d/1XL5vhW3sbDhbH9Cz0tuDiY8C3ctxq1tqvaCgkFb8cCA/edit?usp=sharing"",""ร้อยเอ็ด!M350"")"),444353)</f>
        <v>444353</v>
      </c>
      <c r="O455" s="373">
        <f t="shared" ref="O455:O459" ca="1" si="116">+IF(L455&gt;0,N455*100/L455,0)</f>
        <v>95.200887835750393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IFERROR(__xludf.DUMMYFUNCTION("IMPORTRANGE(""https://docs.google.com/spreadsheets/d/1XL5vhW3sbDhbH9Cz0tuDiY8C3ctxq1tqvaCgkFb8cCA/edit?usp=sharing"",""ร้อยเอ็ด!L352"")"),466753)</f>
        <v>466753</v>
      </c>
      <c r="M457" s="165"/>
      <c r="N457" s="169">
        <f ca="1">IFERROR(__xludf.DUMMYFUNCTION("IMPORTRANGE(""https://docs.google.com/spreadsheets/d/1XL5vhW3sbDhbH9Cz0tuDiY8C3ctxq1tqvaCgkFb8cCA/edit?usp=sharing"",""ร้อยเอ็ด!M352"")"),444353)</f>
        <v>444353</v>
      </c>
      <c r="O457" s="169">
        <f t="shared" ca="1" si="116"/>
        <v>95.200887835750393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IFERROR(__xludf.DUMMYFUNCTION("IMPORTRANGE(""https://docs.google.com/spreadsheets/d/1XL5vhW3sbDhbH9Cz0tuDiY8C3ctxq1tqvaCgkFb8cCA/edit?usp=sharing"",""ร้อยเอ็ด!L354"")"),466753)</f>
        <v>466753</v>
      </c>
      <c r="M459" s="169"/>
      <c r="N459" s="169">
        <f ca="1">IFERROR(__xludf.DUMMYFUNCTION("IMPORTRANGE(""https://docs.google.com/spreadsheets/d/1XL5vhW3sbDhbH9Cz0tuDiY8C3ctxq1tqvaCgkFb8cCA/edit?usp=sharing"",""ร้อยเอ็ด!M354"")"),444353)</f>
        <v>444353</v>
      </c>
      <c r="O459" s="169">
        <f t="shared" ca="1" si="116"/>
        <v>95.200887835750393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IFERROR(__xludf.DUMMYFUNCTION("IMPORTRANGE(""https://docs.google.com/spreadsheets/d/1XL5vhW3sbDhbH9Cz0tuDiY8C3ctxq1tqvaCgkFb8cCA/edit?usp=sharing"",""ร้อยเอ็ด!M357"")"),121000)</f>
        <v>121000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IFERROR(__xludf.DUMMYFUNCTION("IMPORTRANGE(""https://docs.google.com/spreadsheets/d/1XL5vhW3sbDhbH9Cz0tuDiY8C3ctxq1tqvaCgkFb8cCA/edit?usp=sharing"",""ร้อยเอ็ด!M358"")"),323353)</f>
        <v>323353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IFERROR(__xludf.DUMMYFUNCTION("IMPORTRANGE(""https://docs.google.com/spreadsheets/d/1XL5vhW3sbDhbH9Cz0tuDiY8C3ctxq1tqvaCgkFb8cCA/edit?usp=sharing"",""ร้อยเอ็ด!J359"")"),50037)</f>
        <v>50037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IFERROR(__xludf.DUMMYFUNCTION("IMPORTRANGE(""https://docs.google.com/spreadsheets/d/1XL5vhW3sbDhbH9Cz0tuDiY8C3ctxq1tqvaCgkFb8cCA/edit?usp=sharing"",""ร้อยเอ็ด!J378"")"),43465)</f>
        <v>43465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IFERROR(__xludf.DUMMYFUNCTION("IMPORTRANGE(""https://docs.google.com/spreadsheets/d/1XL5vhW3sbDhbH9Cz0tuDiY8C3ctxq1tqvaCgkFb8cCA/edit?usp=sharing"",""ร้อยเอ็ด!J380"")"),276)</f>
        <v>276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IFERROR(__xludf.DUMMYFUNCTION("IMPORTRANGE(""https://docs.google.com/spreadsheets/d/1XL5vhW3sbDhbH9Cz0tuDiY8C3ctxq1tqvaCgkFb8cCA/edit?usp=sharing"",""ร้อยเอ็ด!J381"")"),25)</f>
        <v>25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IFERROR(__xludf.DUMMYFUNCTION("IMPORTRANGE(""https://docs.google.com/spreadsheets/d/1XL5vhW3sbDhbH9Cz0tuDiY8C3ctxq1tqvaCgkFb8cCA/edit?usp=sharing"",""ร้อยเอ็ด!J382"")"),600)</f>
        <v>600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IFERROR(__xludf.DUMMYFUNCTION("IMPORTRANGE(""https://docs.google.com/spreadsheets/d/1XL5vhW3sbDhbH9Cz0tuDiY8C3ctxq1tqvaCgkFb8cCA/edit?usp=sharing"",""ร้อยเอ็ด!J383"")"),46)</f>
        <v>46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IFERROR(__xludf.DUMMYFUNCTION("IMPORTRANGE(""https://docs.google.com/spreadsheets/d/1XL5vhW3sbDhbH9Cz0tuDiY8C3ctxq1tqvaCgkFb8cCA/edit?usp=sharing"",""ร้อยเอ็ด!J384"")"),544)</f>
        <v>544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IFERROR(__xludf.DUMMYFUNCTION("IMPORTRANGE(""https://docs.google.com/spreadsheets/d/1XL5vhW3sbDhbH9Cz0tuDiY8C3ctxq1tqvaCgkFb8cCA/edit?usp=sharing"",""ร้อยเอ็ด!J385"")"),42)</f>
        <v>42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IFERROR(__xludf.DUMMYFUNCTION("IMPORTRANGE(""https://docs.google.com/spreadsheets/d/1XL5vhW3sbDhbH9Cz0tuDiY8C3ctxq1tqvaCgkFb8cCA/edit?usp=sharing"",""ร้อยเอ็ด!J386"")"),56)</f>
        <v>56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IFERROR(__xludf.DUMMYFUNCTION("IMPORTRANGE(""https://docs.google.com/spreadsheets/d/1XL5vhW3sbDhbH9Cz0tuDiY8C3ctxq1tqvaCgkFb8cCA/edit?usp=sharing"",""ร้อยเอ็ด!J387"")"),4)</f>
        <v>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IFERROR(__xludf.DUMMYFUNCTION("IMPORTRANGE(""https://docs.google.com/spreadsheets/d/1XL5vhW3sbDhbH9Cz0tuDiY8C3ctxq1tqvaCgkFb8cCA/edit?usp=sharing"",""ร้อยเอ็ด!J388"")"),5696)</f>
        <v>5696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IFERROR(__xludf.DUMMYFUNCTION("IMPORTRANGE(""https://docs.google.com/spreadsheets/d/1XL5vhW3sbDhbH9Cz0tuDiY8C3ctxq1tqvaCgkFb8cCA/edit?usp=sharing"",""ร้อยเอ็ด!J389"")"),526)</f>
        <v>526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IFERROR(__xludf.DUMMYFUNCTION("IMPORTRANGE(""https://docs.google.com/spreadsheets/d/1XL5vhW3sbDhbH9Cz0tuDiY8C3ctxq1tqvaCgkFb8cCA/edit?usp=sharing"",""ร้อยเอ็ด!J392"")"),572)</f>
        <v>572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IFERROR(__xludf.DUMMYFUNCTION("IMPORTRANGE(""https://docs.google.com/spreadsheets/d/1XL5vhW3sbDhbH9Cz0tuDiY8C3ctxq1tqvaCgkFb8cCA/edit?usp=sharing"",""ร้อยเอ็ด!J393"")"),572)</f>
        <v>572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IFERROR(__xludf.DUMMYFUNCTION("IMPORTRANGE(""https://docs.google.com/spreadsheets/d/1XL5vhW3sbDhbH9Cz0tuDiY8C3ctxq1tqvaCgkFb8cCA/edit?usp=sharing"",""ร้อยเอ็ด!J394"")"),60)</f>
        <v>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IFERROR(__xludf.DUMMYFUNCTION("IMPORTRANGE(""https://docs.google.com/spreadsheets/d/1XL5vhW3sbDhbH9Cz0tuDiY8C3ctxq1tqvaCgkFb8cCA/edit?usp=sharing"",""ร้อยเอ็ด!J395"")"),539)</f>
        <v>539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IFERROR(__xludf.DUMMYFUNCTION("IMPORTRANGE(""https://docs.google.com/spreadsheets/d/1XL5vhW3sbDhbH9Cz0tuDiY8C3ctxq1tqvaCgkFb8cCA/edit?usp=sharing"",""ร้อยเอ็ด!J397"")"),523)</f>
        <v>523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IFERROR(__xludf.DUMMYFUNCTION("IMPORTRANGE(""https://docs.google.com/spreadsheets/d/1XL5vhW3sbDhbH9Cz0tuDiY8C3ctxq1tqvaCgkFb8cCA/edit?usp=sharing"",""ร้อยเอ็ด!J398"")"),57)</f>
        <v>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IFERROR(__xludf.DUMMYFUNCTION("IMPORTRANGE(""https://docs.google.com/spreadsheets/d/1XL5vhW3sbDhbH9Cz0tuDiY8C3ctxq1tqvaCgkFb8cCA/edit?usp=sharing"",""ร้อยเอ็ด!J399"")"),16)</f>
        <v>16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IFERROR(__xludf.DUMMYFUNCTION("IMPORTRANGE(""https://docs.google.com/spreadsheets/d/1XL5vhW3sbDhbH9Cz0tuDiY8C3ctxq1tqvaCgkFb8cCA/edit?usp=sharing"",""ร้อยเอ็ด!J411"")"),19)</f>
        <v>19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IFERROR(__xludf.DUMMYFUNCTION("IMPORTRANGE(""https://docs.google.com/spreadsheets/d/1XL5vhW3sbDhbH9Cz0tuDiY8C3ctxq1tqvaCgkFb8cCA/edit?usp=sharing"",""ร้อยเอ็ด!I412"")"),0)</f>
        <v>0</v>
      </c>
      <c r="J517" s="285">
        <f ca="1">IFERROR(__xludf.DUMMYFUNCTION("IMPORTRANGE(""https://docs.google.com/spreadsheets/d/1XL5vhW3sbDhbH9Cz0tuDiY8C3ctxq1tqvaCgkFb8cCA/edit?usp=sharing"",""ร้อยเอ็ด!J412"")"),19)</f>
        <v>19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IFERROR(__xludf.DUMMYFUNCTION("IMPORTRANGE(""https://docs.google.com/spreadsheets/d/1XL5vhW3sbDhbH9Cz0tuDiY8C3ctxq1tqvaCgkFb8cCA/edit?usp=sharing"",""ร้อยเอ็ด!I413"")"),0)</f>
        <v>0</v>
      </c>
      <c r="J518" s="285">
        <f ca="1">IFERROR(__xludf.DUMMYFUNCTION("IMPORTRANGE(""https://docs.google.com/spreadsheets/d/1XL5vhW3sbDhbH9Cz0tuDiY8C3ctxq1tqvaCgkFb8cCA/edit?usp=sharing"",""ร้อยเอ็ด!J413"")"),2)</f>
        <v>2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IFERROR(__xludf.DUMMYFUNCTION("IMPORTRANGE(""https://docs.google.com/spreadsheets/d/1XL5vhW3sbDhbH9Cz0tuDiY8C3ctxq1tqvaCgkFb8cCA/edit?usp=sharing"",""ร้อยเอ็ด!J416"")"),19)</f>
        <v>19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IFERROR(__xludf.DUMMYFUNCTION("IMPORTRANGE(""https://docs.google.com/spreadsheets/d/1XL5vhW3sbDhbH9Cz0tuDiY8C3ctxq1tqvaCgkFb8cCA/edit?usp=sharing"",""ร้อยเอ็ด!J417"")"),2)</f>
        <v>2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IFERROR(__xludf.DUMMYFUNCTION("IMPORTRANGE(""https://docs.google.com/spreadsheets/d/1XL5vhW3sbDhbH9Cz0tuDiY8C3ctxq1tqvaCgkFb8cCA/edit?usp=sharing"",""ร้อยเอ็ด!J418"")"),457)</f>
        <v>457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IFERROR(__xludf.DUMMYFUNCTION("IMPORTRANGE(""https://docs.google.com/spreadsheets/d/1XL5vhW3sbDhbH9Cz0tuDiY8C3ctxq1tqvaCgkFb8cCA/edit?usp=sharing"",""ร้อยเอ็ด!J419"")"),38)</f>
        <v>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IFERROR(__xludf.DUMMYFUNCTION("IMPORTRANGE(""https://docs.google.com/spreadsheets/d/1XL5vhW3sbDhbH9Cz0tuDiY8C3ctxq1tqvaCgkFb8cCA/edit?usp=sharing"",""ร้อยเอ็ด!I420"")"),457)</f>
        <v>457</v>
      </c>
      <c r="J525" s="285">
        <f ca="1">IFERROR(__xludf.DUMMYFUNCTION("IMPORTRANGE(""https://docs.google.com/spreadsheets/d/1XL5vhW3sbDhbH9Cz0tuDiY8C3ctxq1tqvaCgkFb8cCA/edit?usp=sharing"",""ร้อยเอ็ด!J420"")"),229)</f>
        <v>229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IFERROR(__xludf.DUMMYFUNCTION("IMPORTRANGE(""https://docs.google.com/spreadsheets/d/1XL5vhW3sbDhbH9Cz0tuDiY8C3ctxq1tqvaCgkFb8cCA/edit?usp=sharing"",""ร้อยเอ็ด!I421"")"),38)</f>
        <v>38</v>
      </c>
      <c r="J526" s="285">
        <f ca="1">IFERROR(__xludf.DUMMYFUNCTION("IMPORTRANGE(""https://docs.google.com/spreadsheets/d/1XL5vhW3sbDhbH9Cz0tuDiY8C3ctxq1tqvaCgkFb8cCA/edit?usp=sharing"",""ร้อยเอ็ด!J421"")"),22)</f>
        <v>22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IFERROR(__xludf.DUMMYFUNCTION("IMPORTRANGE(""https://docs.google.com/spreadsheets/d/1XL5vhW3sbDhbH9Cz0tuDiY8C3ctxq1tqvaCgkFb8cCA/edit?usp=sharing"",""ร้อยเอ็ด!J424"")"),19)</f>
        <v>19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IFERROR(__xludf.DUMMYFUNCTION("IMPORTRANGE(""https://docs.google.com/spreadsheets/d/1XL5vhW3sbDhbH9Cz0tuDiY8C3ctxq1tqvaCgkFb8cCA/edit?usp=sharing"",""ร้อยเอ็ด!J425"")"),2)</f>
        <v>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IFERROR(__xludf.DUMMYFUNCTION("IMPORTRANGE(""https://docs.google.com/spreadsheets/d/1XL5vhW3sbDhbH9Cz0tuDiY8C3ctxq1tqvaCgkFb8cCA/edit?usp=sharing"",""ร้อยเอ็ด!J426"")"),210)</f>
        <v>210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IFERROR(__xludf.DUMMYFUNCTION("IMPORTRANGE(""https://docs.google.com/spreadsheets/d/1XL5vhW3sbDhbH9Cz0tuDiY8C3ctxq1tqvaCgkFb8cCA/edit?usp=sharing"",""ร้อยเอ็ด!J427"")"),20)</f>
        <v>20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IFERROR(__xludf.DUMMYFUNCTION("IMPORTRANGE(""https://docs.google.com/spreadsheets/d/1XL5vhW3sbDhbH9Cz0tuDiY8C3ctxq1tqvaCgkFb8cCA/edit?usp=sharing"",""ร้อยเอ็ด!L430"")"),34340)</f>
        <v>34340</v>
      </c>
      <c r="M535" s="165"/>
      <c r="N535" s="169">
        <f ca="1">IFERROR(__xludf.DUMMYFUNCTION("IMPORTRANGE(""https://docs.google.com/spreadsheets/d/1XL5vhW3sbDhbH9Cz0tuDiY8C3ctxq1tqvaCgkFb8cCA/edit?usp=sharing"",""ร้อยเอ็ด!M430"")"),34340)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IFERROR(__xludf.DUMMYFUNCTION("IMPORTRANGE(""https://docs.google.com/spreadsheets/d/1XL5vhW3sbDhbH9Cz0tuDiY8C3ctxq1tqvaCgkFb8cCA/edit?usp=sharing"",""ร้อยเอ็ด!L432"")"),34340)</f>
        <v>34340</v>
      </c>
      <c r="M537" s="169"/>
      <c r="N537" s="169">
        <f ca="1">IFERROR(__xludf.DUMMYFUNCTION("IMPORTRANGE(""https://docs.google.com/spreadsheets/d/1XL5vhW3sbDhbH9Cz0tuDiY8C3ctxq1tqvaCgkFb8cCA/edit?usp=sharing"",""ร้อยเอ็ด!M432"")"),34340)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IFERROR(__xludf.DUMMYFUNCTION("IMPORTRANGE(""https://docs.google.com/spreadsheets/d/1XL5vhW3sbDhbH9Cz0tuDiY8C3ctxq1tqvaCgkFb8cCA/edit?usp=sharing"",""ร้อยเอ็ด!J459"")"),15435)</f>
        <v>15435</v>
      </c>
      <c r="K564" s="372">
        <f ca="1">IF(I564&gt;0,J564*100/I564,0)</f>
        <v>551.25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IFERROR(__xludf.DUMMYFUNCTION("IMPORTRANGE(""https://docs.google.com/spreadsheets/d/1XL5vhW3sbDhbH9Cz0tuDiY8C3ctxq1tqvaCgkFb8cCA/edit?usp=sharing"",""ร้อยเอ็ด!M459"")"),139846.479999999)</f>
        <v>139846.47999999899</v>
      </c>
      <c r="O564" s="373">
        <f t="shared" ref="O564:O568" ca="1" si="122">+IF(L564&gt;0,N564*100/L564,0)</f>
        <v>97.767393736017198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IFERROR(__xludf.DUMMYFUNCTION("IMPORTRANGE(""https://docs.google.com/spreadsheets/d/1XL5vhW3sbDhbH9Cz0tuDiY8C3ctxq1tqvaCgkFb8cCA/edit?usp=sharing"",""ร้อยเอ็ด!M461"")"),139846.479999999)</f>
        <v>139846.47999999899</v>
      </c>
      <c r="O566" s="169">
        <f t="shared" ca="1" si="122"/>
        <v>97.767393736017198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IFERROR(__xludf.DUMMYFUNCTION("IMPORTRANGE(""https://docs.google.com/spreadsheets/d/1XL5vhW3sbDhbH9Cz0tuDiY8C3ctxq1tqvaCgkFb8cCA/edit?usp=sharing"",""ร้อยเอ็ด!M463"")"),139846.479999999)</f>
        <v>139846.47999999899</v>
      </c>
      <c r="O568" s="169">
        <f t="shared" ca="1" si="122"/>
        <v>97.767393736017198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IFERROR(__xludf.DUMMYFUNCTION("IMPORTRANGE(""https://docs.google.com/spreadsheets/d/1XL5vhW3sbDhbH9Cz0tuDiY8C3ctxq1tqvaCgkFb8cCA/edit?usp=sharing"",""ร้อยเอ็ด!M466"")"),95806.48)</f>
        <v>95806.48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IFERROR(__xludf.DUMMYFUNCTION("IMPORTRANGE(""https://docs.google.com/spreadsheets/d/1XL5vhW3sbDhbH9Cz0tuDiY8C3ctxq1tqvaCgkFb8cCA/edit?usp=sharing"",""ร้อยเอ็ด!M467"")"),44040)</f>
        <v>44040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IFERROR(__xludf.DUMMYFUNCTION("IMPORTRANGE(""https://docs.google.com/spreadsheets/d/1XL5vhW3sbDhbH9Cz0tuDiY8C3ctxq1tqvaCgkFb8cCA/edit?usp=sharing"",""ร้อยเอ็ด!J468"")"),15435)</f>
        <v>15435</v>
      </c>
      <c r="K573" s="202">
        <f ca="1">IF(I573&gt;0,J573*100/I573,0)</f>
        <v>551.25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IFERROR(__xludf.DUMMYFUNCTION("IMPORTRANGE(""https://docs.google.com/spreadsheets/d/1XL5vhW3sbDhbH9Cz0tuDiY8C3ctxq1tqvaCgkFb8cCA/edit?usp=sharing"",""ร้อยเอ็ด!J471"")"),206)</f>
        <v>206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IFERROR(__xludf.DUMMYFUNCTION("IMPORTRANGE(""https://docs.google.com/spreadsheets/d/1XL5vhW3sbDhbH9Cz0tuDiY8C3ctxq1tqvaCgkFb8cCA/edit?usp=sharing"",""ร้อยเอ็ด!J472"")"),15228)</f>
        <v>15228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IFERROR(__xludf.DUMMYFUNCTION("IMPORTRANGE(""https://docs.google.com/spreadsheets/d/1XL5vhW3sbDhbH9Cz0tuDiY8C3ctxq1tqvaCgkFb8cCA/edit?usp=sharing"",""ร้อยเอ็ด!J475"")"),90)</f>
        <v>90</v>
      </c>
      <c r="K580" s="372">
        <f ca="1">IF(I580&gt;0,J580*100/I580,0)</f>
        <v>75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IFERROR(__xludf.DUMMYFUNCTION("IMPORTRANGE(""https://docs.google.com/spreadsheets/d/1XL5vhW3sbDhbH9Cz0tuDiY8C3ctxq1tqvaCgkFb8cCA/edit?usp=sharing"",""ร้อยเอ็ด!M475"")"),284963.52)</f>
        <v>284963.52</v>
      </c>
      <c r="O580" s="373">
        <f t="shared" ref="O580:O584" ca="1" si="124">+IF(L580&gt;0,N580*100/L580,0)</f>
        <v>95.811821666330445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IFERROR(__xludf.DUMMYFUNCTION("IMPORTRANGE(""https://docs.google.com/spreadsheets/d/1XL5vhW3sbDhbH9Cz0tuDiY8C3ctxq1tqvaCgkFb8cCA/edit?usp=sharing"",""ร้อยเอ็ด!M477"")"),284963.52)</f>
        <v>284963.52</v>
      </c>
      <c r="O582" s="169">
        <f t="shared" ca="1" si="124"/>
        <v>95.811821666330445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IFERROR(__xludf.DUMMYFUNCTION("IMPORTRANGE(""https://docs.google.com/spreadsheets/d/1XL5vhW3sbDhbH9Cz0tuDiY8C3ctxq1tqvaCgkFb8cCA/edit?usp=sharing"",""ร้อยเอ็ด!M479"")"),284963.52)</f>
        <v>284963.52</v>
      </c>
      <c r="O584" s="169">
        <f t="shared" ca="1" si="124"/>
        <v>95.811821666330445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IFERROR(__xludf.DUMMYFUNCTION("IMPORTRANGE(""https://docs.google.com/spreadsheets/d/1XL5vhW3sbDhbH9Cz0tuDiY8C3ctxq1tqvaCgkFb8cCA/edit?usp=sharing"",""ร้อยเอ็ด!M482"")"),88000)</f>
        <v>88000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IFERROR(__xludf.DUMMYFUNCTION("IMPORTRANGE(""https://docs.google.com/spreadsheets/d/1XL5vhW3sbDhbH9Cz0tuDiY8C3ctxq1tqvaCgkFb8cCA/edit?usp=sharing"",""ร้อยเอ็ด!M483"")"),196963.52)</f>
        <v>196963.52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IFERROR(__xludf.DUMMYFUNCTION("IMPORTRANGE(""https://docs.google.com/spreadsheets/d/1XL5vhW3sbDhbH9Cz0tuDiY8C3ctxq1tqvaCgkFb8cCA/edit?usp=sharing"",""ร้อยเอ็ด!J484"")"),164)</f>
        <v>164</v>
      </c>
      <c r="K589" s="163">
        <f t="shared" ref="K589:K596" ca="1" si="125">IF(I589&gt;0,J589*100/I589,0)</f>
        <v>136.66666666666666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IFERROR(__xludf.DUMMYFUNCTION("IMPORTRANGE(""https://docs.google.com/spreadsheets/d/1XL5vhW3sbDhbH9Cz0tuDiY8C3ctxq1tqvaCgkFb8cCA/edit?usp=sharing"",""ร้อยเอ็ด!J485"")"),81.05)</f>
        <v>81.05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IFERROR(__xludf.DUMMYFUNCTION("IMPORTRANGE(""https://docs.google.com/spreadsheets/d/1XL5vhW3sbDhbH9Cz0tuDiY8C3ctxq1tqvaCgkFb8cCA/edit?usp=sharing"",""ร้อยเอ็ด!J486"")"),217)</f>
        <v>217</v>
      </c>
      <c r="K591" s="163">
        <f t="shared" ca="1" si="125"/>
        <v>180.83333333333334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IFERROR(__xludf.DUMMYFUNCTION("IMPORTRANGE(""https://docs.google.com/spreadsheets/d/1XL5vhW3sbDhbH9Cz0tuDiY8C3ctxq1tqvaCgkFb8cCA/edit?usp=sharing"",""ร้อยเอ็ด!J487"")"),133.54)</f>
        <v>133.54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IFERROR(__xludf.DUMMYFUNCTION("IMPORTRANGE(""https://docs.google.com/spreadsheets/d/1XL5vhW3sbDhbH9Cz0tuDiY8C3ctxq1tqvaCgkFb8cCA/edit?usp=sharing"",""ร้อยเอ็ด!J488"")"),201)</f>
        <v>201</v>
      </c>
      <c r="K593" s="163">
        <f t="shared" ca="1" si="125"/>
        <v>167.5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IFERROR(__xludf.DUMMYFUNCTION("IMPORTRANGE(""https://docs.google.com/spreadsheets/d/1XL5vhW3sbDhbH9Cz0tuDiY8C3ctxq1tqvaCgkFb8cCA/edit?usp=sharing"",""ร้อยเอ็ด!J489"")"),117.4)</f>
        <v>117.4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IFERROR(__xludf.DUMMYFUNCTION("IMPORTRANGE(""https://docs.google.com/spreadsheets/d/1XL5vhW3sbDhbH9Cz0tuDiY8C3ctxq1tqvaCgkFb8cCA/edit?usp=sharing"",""ร้อยเอ็ด!J490"")"),90)</f>
        <v>90</v>
      </c>
      <c r="K595" s="163">
        <f t="shared" ca="1" si="125"/>
        <v>75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IFERROR(__xludf.DUMMYFUNCTION("IMPORTRANGE(""https://docs.google.com/spreadsheets/d/1XL5vhW3sbDhbH9Cz0tuDiY8C3ctxq1tqvaCgkFb8cCA/edit?usp=sharing"",""ร้อยเอ็ด!J491"")"),52.21)</f>
        <v>52.21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8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IFERROR(__xludf.DUMMYFUNCTION("IMPORTRANGE(""https://docs.google.com/spreadsheets/d/1XL5vhW3sbDhbH9Cz0tuDiY8C3ctxq1tqvaCgkFb8cCA/edit?usp=sharing"",""ร้อยเอ็ด!L494"")"),7300)</f>
        <v>7300</v>
      </c>
      <c r="M599" s="165"/>
      <c r="N599" s="169">
        <f ca="1">IFERROR(__xludf.DUMMYFUNCTION("IMPORTRANGE(""https://docs.google.com/spreadsheets/d/1XL5vhW3sbDhbH9Cz0tuDiY8C3ctxq1tqvaCgkFb8cCA/edit?usp=sharing"",""ร้อยเอ็ด!M494"")"),1800)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IFERROR(__xludf.DUMMYFUNCTION("IMPORTRANGE(""https://docs.google.com/spreadsheets/d/1XL5vhW3sbDhbH9Cz0tuDiY8C3ctxq1tqvaCgkFb8cCA/edit?usp=sharing"",""ร้อยเอ็ด!L496"")"),7300)</f>
        <v>7300</v>
      </c>
      <c r="M601" s="169"/>
      <c r="N601" s="169">
        <f ca="1">IFERROR(__xludf.DUMMYFUNCTION("IMPORTRANGE(""https://docs.google.com/spreadsheets/d/1XL5vhW3sbDhbH9Cz0tuDiY8C3ctxq1tqvaCgkFb8cCA/edit?usp=sharing"",""ร้อยเอ็ด!M496"")"),1800)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IFERROR(__xludf.DUMMYFUNCTION("IMPORTRANGE(""https://docs.google.com/spreadsheets/d/1XL5vhW3sbDhbH9Cz0tuDiY8C3ctxq1tqvaCgkFb8cCA/edit?usp=sharing"",""ร้อยเอ็ด!J166"")"),0)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IFERROR(__xludf.DUMMYFUNCTION("IMPORTRANGE(""https://docs.google.com/spreadsheets/d/1XL5vhW3sbDhbH9Cz0tuDiY8C3ctxq1tqvaCgkFb8cCA/edit?usp=sharing"",""ร้อยเอ็ด!J166"")"),0)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2">
        <f ca="1">IFERROR(__xludf.DUMMYFUNCTION("IMPORTRANGE(""https://docs.google.com/spreadsheets/d/1XL5vhW3sbDhbH9Cz0tuDiY8C3ctxq1tqvaCgkFb8cCA/edit?usp=sharing"",""ร้อยเอ็ด!J523"")"),5376626.79)</f>
        <v>5376626.79</v>
      </c>
      <c r="K628" s="343">
        <f t="shared" ref="K628:K635" ca="1" si="129">IF(I628&gt;0,J628*100/I628,0)</f>
        <v>90.219952500336134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IFERROR(__xludf.DUMMYFUNCTION("IMPORTRANGE(""https://docs.google.com/spreadsheets/d/1XL5vhW3sbDhbH9Cz0tuDiY8C3ctxq1tqvaCgkFb8cCA/edit?usp=sharing"",""ร้อยเอ็ด!I524"")"),610)</f>
        <v>610</v>
      </c>
      <c r="J629" s="342">
        <f ca="1">IFERROR(__xludf.DUMMYFUNCTION("IMPORTRANGE(""https://docs.google.com/spreadsheets/d/1XL5vhW3sbDhbH9Cz0tuDiY8C3ctxq1tqvaCgkFb8cCA/edit?usp=sharing"",""ร้อยเอ็ด!J524"")"),434)</f>
        <v>434</v>
      </c>
      <c r="K629" s="343">
        <f t="shared" ca="1" si="129"/>
        <v>71.147540983606561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2">
        <f ca="1">IFERROR(__xludf.DUMMYFUNCTION("IMPORTRANGE(""https://docs.google.com/spreadsheets/d/1XL5vhW3sbDhbH9Cz0tuDiY8C3ctxq1tqvaCgkFb8cCA/edit?usp=sharing"",""ร้อยเอ็ด!J525"")"),5160622.13)</f>
        <v>5160622.13</v>
      </c>
      <c r="K630" s="343">
        <f t="shared" ca="1" si="129"/>
        <v>15.02020428559104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IFERROR(__xludf.DUMMYFUNCTION("IMPORTRANGE(""https://docs.google.com/spreadsheets/d/1XL5vhW3sbDhbH9Cz0tuDiY8C3ctxq1tqvaCgkFb8cCA/edit?usp=sharing"",""ร้อยเอ็ด!I526"")"),1701)</f>
        <v>1701</v>
      </c>
      <c r="J631" s="342">
        <f ca="1">IFERROR(__xludf.DUMMYFUNCTION("IMPORTRANGE(""https://docs.google.com/spreadsheets/d/1XL5vhW3sbDhbH9Cz0tuDiY8C3ctxq1tqvaCgkFb8cCA/edit?usp=sharing"",""ร้อยเอ็ด!J526"")"),962)</f>
        <v>962</v>
      </c>
      <c r="K631" s="343">
        <f t="shared" ca="1" si="129"/>
        <v>56.554967666078774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IFERROR(__xludf.DUMMYFUNCTION("IMPORTRANGE(""https://docs.google.com/spreadsheets/d/1XL5vhW3sbDhbH9Cz0tuDiY8C3ctxq1tqvaCgkFb8cCA/edit?usp=sharing"",""ร้อยเอ็ด!I527"")"),0)</f>
        <v>0</v>
      </c>
      <c r="J632" s="342">
        <f ca="1">IFERROR(__xludf.DUMMYFUNCTION("IMPORTRANGE(""https://docs.google.com/spreadsheets/d/1XL5vhW3sbDhbH9Cz0tuDiY8C3ctxq1tqvaCgkFb8cCA/edit?usp=sharing"",""ร้อยเอ็ด!J527"")"),12022.06)</f>
        <v>12022.06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IFERROR(__xludf.DUMMYFUNCTION("IMPORTRANGE(""https://docs.google.com/spreadsheets/d/1XL5vhW3sbDhbH9Cz0tuDiY8C3ctxq1tqvaCgkFb8cCA/edit?usp=sharing"",""ร้อยเอ็ด!I528"")"),0)</f>
        <v>0</v>
      </c>
      <c r="J633" s="342">
        <f ca="1">IFERROR(__xludf.DUMMYFUNCTION("IMPORTRANGE(""https://docs.google.com/spreadsheets/d/1XL5vhW3sbDhbH9Cz0tuDiY8C3ctxq1tqvaCgkFb8cCA/edit?usp=sharing"",""ร้อยเอ็ด!J528"")"),5)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IFERROR(__xludf.DUMMYFUNCTION("IMPORTRANGE(""https://docs.google.com/spreadsheets/d/1XL5vhW3sbDhbH9Cz0tuDiY8C3ctxq1tqvaCgkFb8cCA/edit?usp=sharing"",""ร้อยเอ็ด!I529"")"),8100000)</f>
        <v>8100000</v>
      </c>
      <c r="J634" s="342">
        <f ca="1">IFERROR(__xludf.DUMMYFUNCTION("IMPORTRANGE(""https://docs.google.com/spreadsheets/d/1XL5vhW3sbDhbH9Cz0tuDiY8C3ctxq1tqvaCgkFb8cCA/edit?usp=sharing"",""ร้อยเอ็ด!J529"")"),3000000)</f>
        <v>3000000</v>
      </c>
      <c r="K634" s="343">
        <f t="shared" ca="1" si="129"/>
        <v>37.037037037037038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IFERROR(__xludf.DUMMYFUNCTION("IMPORTRANGE(""https://docs.google.com/spreadsheets/d/1XL5vhW3sbDhbH9Cz0tuDiY8C3ctxq1tqvaCgkFb8cCA/edit?usp=sharing"",""ร้อยเอ็ด!I530"")"),191)</f>
        <v>191</v>
      </c>
      <c r="J635" s="505">
        <f ca="1">IFERROR(__xludf.DUMMYFUNCTION("IMPORTRANGE(""https://docs.google.com/spreadsheets/d/1XL5vhW3sbDhbH9Cz0tuDiY8C3ctxq1tqvaCgkFb8cCA/edit?usp=sharing"",""ร้อยเอ็ด!J530"")"),80)</f>
        <v>80</v>
      </c>
      <c r="K635" s="487">
        <f t="shared" ca="1" si="129"/>
        <v>41.8848167539267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IFERROR(__xludf.DUMMYFUNCTION("IMPORTRANGE(""https://docs.google.com/spreadsheets/d/1XL5vhW3sbDhbH9Cz0tuDiY8C3ctxq1tqvaCgkFb8cCA/edit#gid=346597447"",""ร้อยเอ็ด!J541"")"),0)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IFERROR(__xludf.DUMMYFUNCTION("IMPORTRANGE(""https://docs.google.com/spreadsheets/d/1XL5vhW3sbDhbH9Cz0tuDiY8C3ctxq1tqvaCgkFb8cCA/edit#gid=346597447"",""ร้อยเอ็ด!J542"")"),1)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IFERROR(__xludf.DUMMYFUNCTION("IMPORTRANGE(""https://docs.google.com/spreadsheets/d/1XL5vhW3sbDhbH9Cz0tuDiY8C3ctxq1tqvaCgkFb8cCA/edit#gid=346597447"",""ร้อยเอ็ด!I543"")"),14)</f>
        <v>14</v>
      </c>
      <c r="J648" s="586">
        <f ca="1">IFERROR(__xludf.DUMMYFUNCTION("IMPORTRANGE(""https://docs.google.com/spreadsheets/d/1XL5vhW3sbDhbH9Cz0tuDiY8C3ctxq1tqvaCgkFb8cCA/edit#gid=346597447"",""ร้อยเอ็ด!J543"")"),0)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IFERROR(__xludf.DUMMYFUNCTION("IMPORTRANGE(""https://docs.google.com/spreadsheets/d/1XL5vhW3sbDhbH9Cz0tuDiY8C3ctxq1tqvaCgkFb8cCA/edit#gid=346597447"",""ร้อยเอ็ด!L543"")"),1120)</f>
        <v>1120</v>
      </c>
      <c r="M648" s="571"/>
      <c r="N648" s="588">
        <f ca="1">IFERROR(__xludf.DUMMYFUNCTION("IMPORTRANGE(""https://docs.google.com/spreadsheets/d/1XL5vhW3sbDhbH9Cz0tuDiY8C3ctxq1tqvaCgkFb8cCA/edit#gid=346597447"",""ร้อยเอ็ด!M543"")"),0)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IFERROR(__xludf.DUMMYFUNCTION("IMPORTRANGE(""https://docs.google.com/spreadsheets/d/1XL5vhW3sbDhbH9Cz0tuDiY8C3ctxq1tqvaCgkFb8cCA/edit#gid=346597447"",""ร้อยเอ็ด!I544"")"),1)</f>
        <v>1</v>
      </c>
      <c r="J649" s="586">
        <f ca="1">IFERROR(__xludf.DUMMYFUNCTION("IMPORTRANGE(""https://docs.google.com/spreadsheets/d/1XL5vhW3sbDhbH9Cz0tuDiY8C3ctxq1tqvaCgkFb8cCA/edit#gid=346597447"",""ร้อยเอ็ด!J544"")"),0)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IFERROR(__xludf.DUMMYFUNCTION("IMPORTRANGE(""https://docs.google.com/spreadsheets/d/1XL5vhW3sbDhbH9Cz0tuDiY8C3ctxq1tqvaCgkFb8cCA/edit#gid=346597447"",""ร้อยเอ็ด!L544"")"),120)</f>
        <v>120</v>
      </c>
      <c r="M649" s="571"/>
      <c r="N649" s="588">
        <f ca="1">IFERROR(__xludf.DUMMYFUNCTION("IMPORTRANGE(""https://docs.google.com/spreadsheets/d/1XL5vhW3sbDhbH9Cz0tuDiY8C3ctxq1tqvaCgkFb8cCA/edit#gid=346597447"",""ร้อยเอ็ด!M544"")"),0)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IFERROR(__xludf.DUMMYFUNCTION("IMPORTRANGE(""https://docs.google.com/spreadsheets/d/1XL5vhW3sbDhbH9Cz0tuDiY8C3ctxq1tqvaCgkFb8cCA/edit#gid=346597447"",""ร้อยเอ็ด!I545"")"),0)</f>
        <v>0</v>
      </c>
      <c r="J650" s="586">
        <f ca="1">IFERROR(__xludf.DUMMYFUNCTION("IMPORTRANGE(""https://docs.google.com/spreadsheets/d/1XL5vhW3sbDhbH9Cz0tuDiY8C3ctxq1tqvaCgkFb8cCA/edit#gid=346597447"",""ร้อยเอ็ด!J545"")"),0)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IFERROR(__xludf.DUMMYFUNCTION("IMPORTRANGE(""https://docs.google.com/spreadsheets/d/1XL5vhW3sbDhbH9Cz0tuDiY8C3ctxq1tqvaCgkFb8cCA/edit#gid=346597447"",""ร้อยเอ็ด!L545"")"),0)</f>
        <v>0</v>
      </c>
      <c r="M650" s="571"/>
      <c r="N650" s="588">
        <f ca="1">IFERROR(__xludf.DUMMYFUNCTION("IMPORTRANGE(""https://docs.google.com/spreadsheets/d/1XL5vhW3sbDhbH9Cz0tuDiY8C3ctxq1tqvaCgkFb8cCA/edit#gid=346597447"",""ร้อยเอ็ด!M545"")"),0)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IFERROR(__xludf.DUMMYFUNCTION("IMPORTRANGE(""https://docs.google.com/spreadsheets/d/1XL5vhW3sbDhbH9Cz0tuDiY8C3ctxq1tqvaCgkFb8cCA/edit#gid=346597447"",""ร้อยเอ็ด!I546"")"),0)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IFERROR(__xludf.DUMMYFUNCTION("IMPORTRANGE(""https://docs.google.com/spreadsheets/d/1XL5vhW3sbDhbH9Cz0tuDiY8C3ctxq1tqvaCgkFb8cCA/edit#gid=346597447"",""ร้อยเอ็ด!L546"")"),0)</f>
        <v>0</v>
      </c>
      <c r="M651" s="571"/>
      <c r="N651" s="588">
        <f ca="1">IFERROR(__xludf.DUMMYFUNCTION("IMPORTRANGE(""https://docs.google.com/spreadsheets/d/1XL5vhW3sbDhbH9Cz0tuDiY8C3ctxq1tqvaCgkFb8cCA/edit#gid=346597447"",""ร้อยเอ็ด!M546"")"),0)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IFERROR(__xludf.DUMMYFUNCTION("IMPORTRANGE(""https://docs.google.com/spreadsheets/d/1XL5vhW3sbDhbH9Cz0tuDiY8C3ctxq1tqvaCgkFb8cCA/edit#gid=346597447"",""ร้อยเอ็ด!J547"")"),0)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IFERROR(__xludf.DUMMYFUNCTION("IMPORTRANGE(""https://docs.google.com/spreadsheets/d/1XL5vhW3sbDhbH9Cz0tuDiY8C3ctxq1tqvaCgkFb8cCA/edit#gid=346597447"",""ร้อยเอ็ด!J548"")"),0)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IFERROR(__xludf.DUMMYFUNCTION("IMPORTRANGE(""https://docs.google.com/spreadsheets/d/1XL5vhW3sbDhbH9Cz0tuDiY8C3ctxq1tqvaCgkFb8cCA/edit#gid=346597447"",""ร้อยเอ็ด!J550"")"),0)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IFERROR(__xludf.DUMMYFUNCTION("IMPORTRANGE(""https://docs.google.com/spreadsheets/d/1XL5vhW3sbDhbH9Cz0tuDiY8C3ctxq1tqvaCgkFb8cCA/edit#gid=346597447"",""ร้อยเอ็ด!J551"")"),0)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IFERROR(__xludf.DUMMYFUNCTION("IMPORTRANGE(""https://docs.google.com/spreadsheets/d/1XL5vhW3sbDhbH9Cz0tuDiY8C3ctxq1tqvaCgkFb8cCA/edit#gid=346597447"",""ร้อยเอ็ด!J552"")"),0)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IFERROR(__xludf.DUMMYFUNCTION("IMPORTRANGE(""https://docs.google.com/spreadsheets/d/1XL5vhW3sbDhbH9Cz0tuDiY8C3ctxq1tqvaCgkFb8cCA/edit#gid=346597447"",""ร้อยเอ็ด!J553"")"),0)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IFERROR(__xludf.DUMMYFUNCTION("IMPORTRANGE(""https://docs.google.com/spreadsheets/d/1XL5vhW3sbDhbH9Cz0tuDiY8C3ctxq1tqvaCgkFb8cCA/edit#gid=346597447"",""ร้อยเอ็ด!J554"")"),0)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IFERROR(__xludf.DUMMYFUNCTION("IMPORTRANGE(""https://docs.google.com/spreadsheets/d/1XL5vhW3sbDhbH9Cz0tuDiY8C3ctxq1tqvaCgkFb8cCA/edit#gid=346597447"",""ร้อยเอ็ด!J555"")"),0)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IFERROR(__xludf.DUMMYFUNCTION("IMPORTRANGE(""https://docs.google.com/spreadsheets/d/1XL5vhW3sbDhbH9Cz0tuDiY8C3ctxq1tqvaCgkFb8cCA/edit#gid=346597447"",""ร้อยเอ็ด!J556"")"),0)</f>
        <v>0</v>
      </c>
      <c r="K661" s="587"/>
      <c r="L661" s="572">
        <f ca="1">IFERROR(__xludf.DUMMYFUNCTION("IMPORTRANGE(""https://docs.google.com/spreadsheets/d/1XL5vhW3sbDhbH9Cz0tuDiY8C3ctxq1tqvaCgkFb8cCA/edit#gid=346597447"",""ร้อยเอ็ด!L556"")"),0)</f>
        <v>0</v>
      </c>
      <c r="M661" s="571"/>
      <c r="N661" s="588">
        <f ca="1">IFERROR(__xludf.DUMMYFUNCTION("IMPORTRANGE(""https://docs.google.com/spreadsheets/d/1XL5vhW3sbDhbH9Cz0tuDiY8C3ctxq1tqvaCgkFb8cCA/edit#gid=346597447"",""ร้อยเอ็ด!M556"")"),0)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IFERROR(__xludf.DUMMYFUNCTION("IMPORTRANGE(""https://docs.google.com/spreadsheets/d/1XL5vhW3sbDhbH9Cz0tuDiY8C3ctxq1tqvaCgkFb8cCA/edit#gid=346597447"",""ร้อยเอ็ด!J557"")"),0)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IFERROR(__xludf.DUMMYFUNCTION("IMPORTRANGE(""https://docs.google.com/spreadsheets/d/1XL5vhW3sbDhbH9Cz0tuDiY8C3ctxq1tqvaCgkFb8cCA/edit#gid=346597447"",""ร้อยเอ็ด!I558"")"),0)</f>
        <v>0</v>
      </c>
      <c r="J663" s="586">
        <f ca="1">IFERROR(__xludf.DUMMYFUNCTION("IMPORTRANGE(""https://docs.google.com/spreadsheets/d/1XL5vhW3sbDhbH9Cz0tuDiY8C3ctxq1tqvaCgkFb8cCA/edit#gid=346597447"",""ร้อยเอ็ด!J558"")"),0)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IFERROR(__xludf.DUMMYFUNCTION("IMPORTRANGE(""https://docs.google.com/spreadsheets/d/1XL5vhW3sbDhbH9Cz0tuDiY8C3ctxq1tqvaCgkFb8cCA/edit#gid=346597447"",""ร้อยเอ็ด!I560"")"),0)</f>
        <v>0</v>
      </c>
      <c r="J665" s="586">
        <f ca="1">IFERROR(__xludf.DUMMYFUNCTION("IMPORTRANGE(""https://docs.google.com/spreadsheets/d/1XL5vhW3sbDhbH9Cz0tuDiY8C3ctxq1tqvaCgkFb8cCA/edit#gid=346597447"",""ร้อยเอ็ด!J560"")"),0)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IFERROR(__xludf.DUMMYFUNCTION("IMPORTRANGE(""https://docs.google.com/spreadsheets/d/1XL5vhW3sbDhbH9Cz0tuDiY8C3ctxq1tqvaCgkFb8cCA/edit#gid=346597447"",""ร้อยเอ็ด!L560"")"),0)</f>
        <v>0</v>
      </c>
      <c r="M665" s="571"/>
      <c r="N665" s="588">
        <f ca="1">IFERROR(__xludf.DUMMYFUNCTION("IMPORTRANGE(""https://docs.google.com/spreadsheets/d/1XL5vhW3sbDhbH9Cz0tuDiY8C3ctxq1tqvaCgkFb8cCA/edit#gid=346597447"",""ร้อยเอ็ด!M560"")"),0)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IFERROR(__xludf.DUMMYFUNCTION("IMPORTRANGE(""https://docs.google.com/spreadsheets/d/1XL5vhW3sbDhbH9Cz0tuDiY8C3ctxq1tqvaCgkFb8cCA/edit#gid=346597447"",""ร้อยเอ็ด!J561"")"),0)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IFERROR(__xludf.DUMMYFUNCTION("IMPORTRANGE(""https://docs.google.com/spreadsheets/d/1XL5vhW3sbDhbH9Cz0tuDiY8C3ctxq1tqvaCgkFb8cCA/edit#gid=346597447"",""ร้อยเอ็ด!J562"")"),0)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IFERROR(__xludf.DUMMYFUNCTION("IMPORTRANGE(""https://docs.google.com/spreadsheets/d/1XL5vhW3sbDhbH9Cz0tuDiY8C3ctxq1tqvaCgkFb8cCA/edit#gid=346597447"",""ร้อยเอ็ด!I563"")"),0)</f>
        <v>0</v>
      </c>
      <c r="J668" s="586">
        <f ca="1">IFERROR(__xludf.DUMMYFUNCTION("IMPORTRANGE(""https://docs.google.com/spreadsheets/d/1XL5vhW3sbDhbH9Cz0tuDiY8C3ctxq1tqvaCgkFb8cCA/edit#gid=346597447"",""ร้อยเอ็ด!J563"")"),0)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IFERROR(__xludf.DUMMYFUNCTION("IMPORTRANGE(""https://docs.google.com/spreadsheets/d/1XL5vhW3sbDhbH9Cz0tuDiY8C3ctxq1tqvaCgkFb8cCA/edit#gid=346597447"",""ร้อยเอ็ด!L563"")"),0)</f>
        <v>0</v>
      </c>
      <c r="M668" s="571"/>
      <c r="N668" s="588">
        <f ca="1">IFERROR(__xludf.DUMMYFUNCTION("IMPORTRANGE(""https://docs.google.com/spreadsheets/d/1XL5vhW3sbDhbH9Cz0tuDiY8C3ctxq1tqvaCgkFb8cCA/edit#gid=346597447"",""ร้อยเอ็ด!M563"")"),0)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IFERROR(__xludf.DUMMYFUNCTION("IMPORTRANGE(""https://docs.google.com/spreadsheets/d/1XL5vhW3sbDhbH9Cz0tuDiY8C3ctxq1tqvaCgkFb8cCA/edit#gid=346597447"",""ร้อยเอ็ด!J564"")"),0)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IFERROR(__xludf.DUMMYFUNCTION("IMPORTRANGE(""https://docs.google.com/spreadsheets/d/1XL5vhW3sbDhbH9Cz0tuDiY8C3ctxq1tqvaCgkFb8cCA/edit#gid=346597447"",""ร้อยเอ็ด!J565"")"),0)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IFERROR(__xludf.DUMMYFUNCTION("IMPORTRANGE(""https://docs.google.com/spreadsheets/d/1XL5vhW3sbDhbH9Cz0tuDiY8C3ctxq1tqvaCgkFb8cCA/edit#gid=346597447"",""ร้อยเอ็ด!I566"")"),0)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IFERROR(__xludf.DUMMYFUNCTION("IMPORTRANGE(""https://docs.google.com/spreadsheets/d/1XL5vhW3sbDhbH9Cz0tuDiY8C3ctxq1tqvaCgkFb8cCA/edit#gid=346597447"",""ร้อยเอ็ด!L566"")"),0)</f>
        <v>0</v>
      </c>
      <c r="M671" s="571"/>
      <c r="N671" s="588">
        <f ca="1">IFERROR(__xludf.DUMMYFUNCTION("IMPORTRANGE(""https://docs.google.com/spreadsheets/d/1XL5vhW3sbDhbH9Cz0tuDiY8C3ctxq1tqvaCgkFb8cCA/edit#gid=346597447"",""ร้อยเอ็ด!M566"")"),0)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IFERROR(__xludf.DUMMYFUNCTION("IMPORTRANGE(""https://docs.google.com/spreadsheets/d/1XL5vhW3sbDhbH9Cz0tuDiY8C3ctxq1tqvaCgkFb8cCA/edit#gid=346597447"",""ร้อยเอ็ด!J567"")"),0)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IFERROR(__xludf.DUMMYFUNCTION("IMPORTRANGE(""https://docs.google.com/spreadsheets/d/1XL5vhW3sbDhbH9Cz0tuDiY8C3ctxq1tqvaCgkFb8cCA/edit#gid=346597447"",""ร้อยเอ็ด!J568"")"),0)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IFERROR(__xludf.DUMMYFUNCTION("IMPORTRANGE(""https://docs.google.com/spreadsheets/d/1XL5vhW3sbDhbH9Cz0tuDiY8C3ctxq1tqvaCgkFb8cCA/edit#gid=346597447"",""ร้อยเอ็ด!J569"")"),0)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IFERROR(__xludf.DUMMYFUNCTION("IMPORTRANGE(""https://docs.google.com/spreadsheets/d/1XL5vhW3sbDhbH9Cz0tuDiY8C3ctxq1tqvaCgkFb8cCA/edit#gid=346597447"",""ร้อยเอ็ด!J570"")"),0)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IFERROR(__xludf.DUMMYFUNCTION("IMPORTRANGE(""https://docs.google.com/spreadsheets/d/1XL5vhW3sbDhbH9Cz0tuDiY8C3ctxq1tqvaCgkFb8cCA/edit#gid=346597447"",""ร้อยเอ็ด!J571"")"),0)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IFERROR(__xludf.DUMMYFUNCTION("IMPORTRANGE(""https://docs.google.com/spreadsheets/d/1XL5vhW3sbDhbH9Cz0tuDiY8C3ctxq1tqvaCgkFb8cCA/edit#gid=346597447"",""ร้อยเอ็ด!J572"")"),0)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6544455</v>
      </c>
      <c r="M8" s="23">
        <f t="shared" ca="1" si="0"/>
        <v>3362230.81</v>
      </c>
      <c r="N8" s="23">
        <f t="shared" ca="1" si="0"/>
        <v>5404855.5600000005</v>
      </c>
      <c r="O8" s="22">
        <f t="shared" ref="O8:O16" ca="1" si="1">IF(L8&gt;0,N8*100/L8,0)</f>
        <v>82.58679385831212</v>
      </c>
      <c r="P8" s="22">
        <f t="shared" ref="P8:P16" ca="1" si="2">IF(M8&gt;0,N8*100/M8,0)</f>
        <v>160.75206805924188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6544455</v>
      </c>
      <c r="M10" s="30">
        <f t="shared" ca="1" si="4"/>
        <v>3362230.81</v>
      </c>
      <c r="N10" s="30">
        <f t="shared" ca="1" si="4"/>
        <v>5404855.5600000005</v>
      </c>
      <c r="O10" s="29">
        <f t="shared" ca="1" si="1"/>
        <v>82.58679385831212</v>
      </c>
      <c r="P10" s="29">
        <f t="shared" ca="1" si="2"/>
        <v>160.75206805924188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6367455</v>
      </c>
      <c r="M12" s="38">
        <f t="shared" ca="1" si="6"/>
        <v>3185230.81</v>
      </c>
      <c r="N12" s="38">
        <f t="shared" ca="1" si="6"/>
        <v>5227855.5600000005</v>
      </c>
      <c r="O12" s="38">
        <f t="shared" ca="1" si="1"/>
        <v>82.102748429317529</v>
      </c>
      <c r="P12" s="38">
        <f t="shared" ca="1" si="2"/>
        <v>164.12799799585011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4088055</v>
      </c>
      <c r="M14" s="38">
        <f t="shared" si="8"/>
        <v>0</v>
      </c>
      <c r="N14" s="38">
        <f t="shared" ca="1" si="8"/>
        <v>2470281</v>
      </c>
      <c r="O14" s="38">
        <f t="shared" ca="1" si="1"/>
        <v>60.426804433893381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3474209</v>
      </c>
      <c r="M18" s="23">
        <f t="shared" ca="1" si="11"/>
        <v>3362230.81</v>
      </c>
      <c r="N18" s="23">
        <f t="shared" ca="1" si="11"/>
        <v>2934574.56</v>
      </c>
      <c r="O18" s="22">
        <f t="shared" ref="O18:O20" ca="1" si="12">IF(L18&gt;0,N18*100/L18,0)</f>
        <v>84.467415748448062</v>
      </c>
      <c r="P18" s="22">
        <f t="shared" ref="P18:P26" ca="1" si="13">IF(M18&gt;0,N18*100/M18,0)</f>
        <v>87.280580240712268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3474209</v>
      </c>
      <c r="M20" s="30">
        <f t="shared" ca="1" si="15"/>
        <v>3362230.81</v>
      </c>
      <c r="N20" s="30">
        <f t="shared" ca="1" si="15"/>
        <v>2934574.56</v>
      </c>
      <c r="O20" s="29">
        <f t="shared" ca="1" si="12"/>
        <v>84.467415748448062</v>
      </c>
      <c r="P20" s="29">
        <f t="shared" ca="1" si="13"/>
        <v>87.280580240712268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3297209</v>
      </c>
      <c r="M22" s="41">
        <f t="shared" ca="1" si="18"/>
        <v>3185230.81</v>
      </c>
      <c r="N22" s="38">
        <f t="shared" ca="1" si="18"/>
        <v>2757574.56</v>
      </c>
      <c r="O22" s="38">
        <f t="shared" ca="1" si="17"/>
        <v>83.633599204660669</v>
      </c>
      <c r="P22" s="38">
        <f t="shared" ca="1" si="13"/>
        <v>86.573775167018425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1017809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3070246</v>
      </c>
      <c r="M28" s="23">
        <f t="shared" si="23"/>
        <v>0</v>
      </c>
      <c r="N28" s="23">
        <f t="shared" ca="1" si="23"/>
        <v>2470281</v>
      </c>
      <c r="O28" s="22">
        <f t="shared" ref="O28:O30" ca="1" si="24">IF(L28&gt;0,N28*100/L28,0)</f>
        <v>80.45873197131435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3070246</v>
      </c>
      <c r="M30" s="30">
        <f t="shared" si="27"/>
        <v>0</v>
      </c>
      <c r="N30" s="30">
        <f t="shared" ca="1" si="27"/>
        <v>2470281</v>
      </c>
      <c r="O30" s="29">
        <f t="shared" ca="1" si="24"/>
        <v>80.45873197131435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3070246</v>
      </c>
      <c r="M32" s="38">
        <f t="shared" si="30"/>
        <v>0</v>
      </c>
      <c r="N32" s="38">
        <f t="shared" ca="1" si="30"/>
        <v>2470281</v>
      </c>
      <c r="O32" s="38">
        <f t="shared" ca="1" si="29"/>
        <v>80.45873197131435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3070246</v>
      </c>
      <c r="M34" s="38">
        <f t="shared" si="32"/>
        <v>0</v>
      </c>
      <c r="N34" s="38">
        <f t="shared" ca="1" si="32"/>
        <v>2470281</v>
      </c>
      <c r="O34" s="38">
        <f t="shared" ca="1" si="29"/>
        <v>80.45873197131435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3474209</v>
      </c>
      <c r="M37" s="54">
        <f t="shared" ca="1" si="33"/>
        <v>3362230.81</v>
      </c>
      <c r="N37" s="54">
        <f t="shared" ca="1" si="33"/>
        <v>2934574.56</v>
      </c>
      <c r="O37" s="55">
        <f t="shared" ca="1" si="29"/>
        <v>84.467415748448062</v>
      </c>
      <c r="P37" s="55">
        <f t="shared" ca="1" si="25"/>
        <v>87.280580240712268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811700</v>
      </c>
      <c r="N41" s="78">
        <f t="shared" ca="1" si="34"/>
        <v>799183.06</v>
      </c>
      <c r="O41" s="77">
        <f t="shared" ref="O41:O43" ca="1" si="35">IF(L41&gt;0,N41*100/L41,0)</f>
        <v>98.45793519773315</v>
      </c>
      <c r="P41" s="77">
        <f t="shared" ref="P41:P43" ca="1" si="36">IF(M41&gt;0,N41*100/M41,0)</f>
        <v>98.45793519773315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811700</v>
      </c>
      <c r="N43" s="78">
        <f t="shared" ca="1" si="38"/>
        <v>799183.06</v>
      </c>
      <c r="O43" s="77">
        <f t="shared" ca="1" si="35"/>
        <v>98.45793519773315</v>
      </c>
      <c r="P43" s="77">
        <f t="shared" ca="1" si="36"/>
        <v>98.45793519773315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623">
        <f ca="1">IFERROR(__xludf.DUMMYFUNCTION("IMPORTRANGE(""https://docs.google.com/spreadsheets/d/1Yj_ptqi66GCucihVvJfMjLAmec39IyEx_6qawtMGysU/edit?usp=sharing"",""สบก!Q49"")"),727100)</f>
        <v>727100</v>
      </c>
      <c r="N45" s="623">
        <f ca="1">IFERROR(__xludf.DUMMYFUNCTION("IMPORTRANGE(""https://docs.google.com/spreadsheets/d/1Yj_ptqi66GCucihVvJfMjLAmec39IyEx_6qawtMGysU/edit?usp=sharing"",""สบก!R49"")"),714583.06)</f>
        <v>714583.06</v>
      </c>
      <c r="O45" s="624">
        <f ca="1">IF(L45&gt;0,N45*100/L45,0)</f>
        <v>98.278511896575438</v>
      </c>
      <c r="P45" s="624">
        <f ca="1">IF(M45&gt;0,N45*100/M45,0)</f>
        <v>98.278511896575438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IFERROR(__xludf.DUMMYFUNCTION("IMPORTRANGE(""https://docs.google.com/spreadsheets/d/1Yj_ptqi66GCucihVvJfMjLAmec39IyEx_6qawtMGysU/edit?usp=sharing"",""สบก!M49"")"),727100)</f>
        <v>727100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IFERROR(__xludf.DUMMYFUNCTION("IMPORTRANGE(""https://docs.google.com/spreadsheets/d/1Yj_ptqi66GCucihVvJfMjLAmec39IyEx_6qawtMGysU/edit?usp=sharing"",""สบก!N49"")"),0)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IFERROR(__xludf.DUMMYFUNCTION("IMPORTRANGE(""https://docs.google.com/spreadsheets/d/1Yj_ptqi66GCucihVvJfMjLAmec39IyEx_6qawtMGysU/edit?usp=sharing"",""สบก!O49"")"),84600)</f>
        <v>84600</v>
      </c>
      <c r="M49" s="626">
        <f ca="1">L49</f>
        <v>84600</v>
      </c>
      <c r="N49" s="623">
        <f ca="1">IFERROR(__xludf.DUMMYFUNCTION("IMPORTRANGE(""https://docs.google.com/spreadsheets/d/1Yj_ptqi66GCucihVvJfMjLAmec39IyEx_6qawtMGysU/edit?usp=sharing"",""สบก!S49"")"),84600)</f>
        <v>84600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674443.81</v>
      </c>
      <c r="N53" s="121">
        <f t="shared" ca="1" si="39"/>
        <v>581393.81000000006</v>
      </c>
      <c r="O53" s="120">
        <f t="shared" ref="O53:O55" ca="1" si="40">IF(L53&gt;0,N53*100/L53,0)</f>
        <v>73.855920985772372</v>
      </c>
      <c r="P53" s="120">
        <f t="shared" ref="P53:P55" ca="1" si="41">IF(M53&gt;0,N53*100/M53,0)</f>
        <v>86.203446659255434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674443.81</v>
      </c>
      <c r="N55" s="121">
        <f t="shared" ca="1" si="43"/>
        <v>581393.81000000006</v>
      </c>
      <c r="O55" s="120">
        <f t="shared" ca="1" si="40"/>
        <v>73.855920985772372</v>
      </c>
      <c r="P55" s="120">
        <f t="shared" ca="1" si="41"/>
        <v>86.203446659255434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623">
        <f ca="1">IFERROR(__xludf.DUMMYFUNCTION("IMPORTRANGE(""https://docs.google.com/spreadsheets/d/1Yj_ptqi66GCucihVvJfMjLAmec39IyEx_6qawtMGysU/edit?usp=sharing"",""สบก!Z49"")"),674443.81)</f>
        <v>674443.81</v>
      </c>
      <c r="N57" s="623">
        <f ca="1">IFERROR(__xludf.DUMMYFUNCTION("IMPORTRANGE(""https://docs.google.com/spreadsheets/d/1Yj_ptqi66GCucihVvJfMjLAmec39IyEx_6qawtMGysU/edit?usp=sharing"",""สบก!AA49"")"),581393.81)</f>
        <v>581393.81000000006</v>
      </c>
      <c r="O57" s="624">
        <f ca="1">IF(L57&gt;0,N57*100/L57,0)</f>
        <v>73.855920985772372</v>
      </c>
      <c r="P57" s="624">
        <f ca="1">IF(M57&gt;0,N57*100/M57,0)</f>
        <v>86.203446659255434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IFERROR(__xludf.DUMMYFUNCTION("IMPORTRANGE(""https://docs.google.com/spreadsheets/d/1Yj_ptqi66GCucihVvJfMjLAmec39IyEx_6qawtMGysU/edit?usp=sharing"",""สบก!V49"")"),787200)</f>
        <v>787200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IFERROR(__xludf.DUMMYFUNCTION("IMPORTRANGE(""https://docs.google.com/spreadsheets/d/1Yj_ptqi66GCucihVvJfMjLAmec39IyEx_6qawtMGysU/edit?usp=sharing"",""สบก!W49"")"),0)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IFERROR(__xludf.DUMMYFUNCTION("IMPORTRANGE(""https://docs.google.com/spreadsheets/d/1Yj_ptqi66GCucihVvJfMjLAmec39IyEx_6qawtMGysU/edit?usp=sharing"",""สบก!X49"")"),0)</f>
        <v>0</v>
      </c>
      <c r="M61" s="626"/>
      <c r="N61" s="623">
        <f ca="1">IFERROR(__xludf.DUMMYFUNCTION("IMPORTRANGE(""https://docs.google.com/spreadsheets/d/1Yj_ptqi66GCucihVvJfMjLAmec39IyEx_6qawtMGysU/edit?usp=sharing"",""สบก!AB49"")"),0)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IFERROR(__xludf.DUMMYFUNCTION("IMPORTRANGE(""https://docs.google.com/spreadsheets/d/1Yj_ptqi66GCucihVvJfMjLAmec39IyEx_6qawtMGysU/edit?usp=sharing"",""สบก!AI49"")"),0)</f>
        <v>0</v>
      </c>
      <c r="N70" s="628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IFERROR(__xludf.DUMMYFUNCTION("IMPORTRANGE(""https://docs.google.com/spreadsheets/d/1Yj_ptqi66GCucihVvJfMjLAmec39IyEx_6qawtMGysU/edit?usp=sharing"",""สบก!AG49"")"),0)</f>
        <v>0</v>
      </c>
      <c r="M74" s="626"/>
      <c r="N74" s="623">
        <f ca="1">IFERROR(__xludf.DUMMYFUNCTION("IMPORTRANGE(""https://docs.google.com/spreadsheets/d/1Yj_ptqi66GCucihVvJfMjLAmec39IyEx_6qawtMGysU/edit?usp=sharing"",""สบก!AK49"")"),0)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168278</v>
      </c>
      <c r="N94" s="152">
        <f t="shared" ca="1" si="52"/>
        <v>150638</v>
      </c>
      <c r="O94" s="151">
        <f t="shared" ref="O94:O96" ca="1" si="53">IF(L94&gt;0,N94*100/L94,0)</f>
        <v>70.227505827505823</v>
      </c>
      <c r="P94" s="151">
        <f t="shared" ref="P94:P96" ca="1" si="54">IF(M94&gt;0,N94*100/M94,0)</f>
        <v>89.517346296010174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168278</v>
      </c>
      <c r="N96" s="157">
        <f t="shared" ca="1" si="56"/>
        <v>150638</v>
      </c>
      <c r="O96" s="156">
        <f t="shared" ca="1" si="53"/>
        <v>70.227505827505823</v>
      </c>
      <c r="P96" s="156">
        <f t="shared" ca="1" si="54"/>
        <v>89.517346296010174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IFERROR(__xludf.DUMMYFUNCTION("IMPORTRANGE(""https://docs.google.com/spreadsheets/d/1Yj_ptqi66GCucihVvJfMjLAmec39IyEx_6qawtMGysU/edit?usp=sharing"",""สบก!AR49"")"),75878)</f>
        <v>75878</v>
      </c>
      <c r="N98" s="628">
        <f ca="1">IFERROR(__xludf.DUMMYFUNCTION("IMPORTRANGE(""https://docs.google.com/spreadsheets/d/1Yj_ptqi66GCucihVvJfMjLAmec39IyEx_6qawtMGysU/edit?usp=sharing"",""สบก!AS49"")"),58238)</f>
        <v>58238</v>
      </c>
      <c r="O98" s="169">
        <f ca="1">IF(L98&gt;0,N98*100/L98,0)</f>
        <v>47.696969696969695</v>
      </c>
      <c r="P98" s="169">
        <f ca="1">IF(M98&gt;0,N98*100/M98,0)</f>
        <v>76.75215477477002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IFERROR(__xludf.DUMMYFUNCTION("IMPORTRANGE(""https://docs.google.com/spreadsheets/d/1Yj_ptqi66GCucihVvJfMjLAmec39IyEx_6qawtMGysU/edit?usp=sharing"",""สบก!AP49"")"),92400)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IFERROR(__xludf.DUMMYFUNCTION("IMPORTRANGE(""https://docs.google.com/spreadsheets/d/1Yj_ptqi66GCucihVvJfMjLAmec39IyEx_6qawtMGysU/edit?usp=sharing"",""สบก!AT49"")"),92400)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8004</v>
      </c>
      <c r="M118" s="152">
        <f t="shared" ca="1" si="58"/>
        <v>8004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8004</v>
      </c>
      <c r="M120" s="157">
        <f t="shared" ca="1" si="62"/>
        <v>8004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8004</v>
      </c>
      <c r="M122" s="627">
        <f ca="1">IFERROR(__xludf.DUMMYFUNCTION("IMPORTRANGE(""https://docs.google.com/spreadsheets/d/1Yj_ptqi66GCucihVvJfMjLAmec39IyEx_6qawtMGysU/edit?usp=sharing"",""สบก!BA49"")"),8004)</f>
        <v>8004</v>
      </c>
      <c r="N122" s="628">
        <f ca="1">IFERROR(__xludf.DUMMYFUNCTION("IMPORTRANGE(""https://docs.google.com/spreadsheets/d/1Yj_ptqi66GCucihVvJfMjLAmec39IyEx_6qawtMGysU/edit?usp=sharing"",""สบก!BB49"")"),0)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IFERROR(__xludf.DUMMYFUNCTION("IMPORTRANGE(""https://docs.google.com/spreadsheets/d/1Yj_ptqi66GCucihVvJfMjLAmec39IyEx_6qawtMGysU/edit?usp=sharing"",""สบก!AX49"")"),8004)</f>
        <v>8004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IFERROR(__xludf.DUMMYFUNCTION("IMPORTRANGE(""https://docs.google.com/spreadsheets/d/1Yj_ptqi66GCucihVvJfMjLAmec39IyEx_6qawtMGysU/edit?usp=sharing"",""สบก!AY49"")"),0)</f>
        <v>0</v>
      </c>
      <c r="M126" s="626"/>
      <c r="N126" s="623">
        <f ca="1">IFERROR(__xludf.DUMMYFUNCTION("IMPORTRANGE(""https://docs.google.com/spreadsheets/d/1Yj_ptqi66GCucihVvJfMjLAmec39IyEx_6qawtMGysU/edit?usp=sharing"",""สบก!BC49"")"),0)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581800</v>
      </c>
      <c r="M140" s="152">
        <f t="shared" ca="1" si="64"/>
        <v>589800</v>
      </c>
      <c r="N140" s="152">
        <f t="shared" ca="1" si="64"/>
        <v>545200</v>
      </c>
      <c r="O140" s="151">
        <f t="shared" ref="O140:O142" ca="1" si="65">IF(L140&gt;0,N140*100/L140,0)</f>
        <v>93.709178411825363</v>
      </c>
      <c r="P140" s="151">
        <f t="shared" ref="P140:P142" ca="1" si="66">IF(M140&gt;0,N140*100/M140,0)</f>
        <v>92.438114615123766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581800</v>
      </c>
      <c r="M142" s="157">
        <f t="shared" ca="1" si="68"/>
        <v>589800</v>
      </c>
      <c r="N142" s="157">
        <f t="shared" ca="1" si="68"/>
        <v>545200</v>
      </c>
      <c r="O142" s="156">
        <f t="shared" ca="1" si="65"/>
        <v>93.709178411825363</v>
      </c>
      <c r="P142" s="156">
        <f t="shared" ca="1" si="66"/>
        <v>92.438114615123766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581800</v>
      </c>
      <c r="M144" s="627">
        <f ca="1">IFERROR(__xludf.DUMMYFUNCTION("IMPORTRANGE(""https://docs.google.com/spreadsheets/d/1Yj_ptqi66GCucihVvJfMjLAmec39IyEx_6qawtMGysU/edit?usp=sharing"",""สบก!BJ49"")"),589800)</f>
        <v>589800</v>
      </c>
      <c r="N144" s="628">
        <f ca="1">IFERROR(__xludf.DUMMYFUNCTION("IMPORTRANGE(""https://docs.google.com/spreadsheets/d/1Yj_ptqi66GCucihVvJfMjLAmec39IyEx_6qawtMGysU/edit?usp=sharing"",""สบก!BK49"")"),545200)</f>
        <v>545200</v>
      </c>
      <c r="O144" s="169">
        <f ca="1">IF(L144&gt;0,N144*100/L144,0)</f>
        <v>93.709178411825363</v>
      </c>
      <c r="P144" s="169">
        <f ca="1">IF(M144&gt;0,N144*100/M144,0)</f>
        <v>92.438114615123766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IFERROR(__xludf.DUMMYFUNCTION("IMPORTRANGE(""https://docs.google.com/spreadsheets/d/1Yj_ptqi66GCucihVvJfMjLAmec39IyEx_6qawtMGysU/edit?usp=sharing"",""สบก!BG49"")"),122700)</f>
        <v>122700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IFERROR(__xludf.DUMMYFUNCTION("IMPORTRANGE(""https://docs.google.com/spreadsheets/d/1Yj_ptqi66GCucihVvJfMjLAmec39IyEx_6qawtMGysU/edit?usp=sharing"",""สบก!BH49"")"),0)</f>
        <v>0</v>
      </c>
      <c r="M148" s="626"/>
      <c r="N148" s="623">
        <f ca="1">IFERROR(__xludf.DUMMYFUNCTION("IMPORTRANGE(""https://docs.google.com/spreadsheets/d/1Yj_ptqi66GCucihVvJfMjLAmec39IyEx_6qawtMGysU/edit?usp=sharing"",""สบก!BL49"")"),0)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IFERROR(__xludf.DUMMYFUNCTION("IMPORTRANGE(""https://docs.google.com/spreadsheets/d/1XL5vhW3sbDhbH9Cz0tuDiY8C3ctxq1tqvaCgkFb8cCA/edit?usp=sharing"",""เลย!J84"")"),117)</f>
        <v>117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IFERROR(__xludf.DUMMYFUNCTION("IMPORTRANGE(""https://docs.google.com/spreadsheets/d/1XL5vhW3sbDhbH9Cz0tuDiY8C3ctxq1tqvaCgkFb8cCA/edit?usp=sharing"",""เลย!J85"")"),117)</f>
        <v>117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IFERROR(__xludf.DUMMYFUNCTION("IMPORTRANGE(""https://docs.google.com/spreadsheets/d/1XL5vhW3sbDhbH9Cz0tuDiY8C3ctxq1tqvaCgkFb8cCA/edit?usp=sharing"",""เลย!J88"")"),0)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IFERROR(__xludf.DUMMYFUNCTION("IMPORTRANGE(""https://docs.google.com/spreadsheets/d/1XL5vhW3sbDhbH9Cz0tuDiY8C3ctxq1tqvaCgkFb8cCA/edit?usp=sharing"",""เลย!I89"")"),2)</f>
        <v>2</v>
      </c>
      <c r="J164" s="285">
        <f ca="1">IFERROR(__xludf.DUMMYFUNCTION("IMPORTRANGE(""https://docs.google.com/spreadsheets/d/1XL5vhW3sbDhbH9Cz0tuDiY8C3ctxq1tqvaCgkFb8cCA/edit?usp=sharing"",""เลย!J89"")"),2)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IFERROR(__xludf.DUMMYFUNCTION("IMPORTRANGE(""https://docs.google.com/spreadsheets/d/1XL5vhW3sbDhbH9Cz0tuDiY8C3ctxq1tqvaCgkFb8cCA/edit?usp=sharing"",""เลย!J100"")"),0)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IFERROR(__xludf.DUMMYFUNCTION("IMPORTRANGE(""https://docs.google.com/spreadsheets/d/1XL5vhW3sbDhbH9Cz0tuDiY8C3ctxq1tqvaCgkFb8cCA/edit?usp=sharing"",""เลย!I101"")"),2)</f>
        <v>2</v>
      </c>
      <c r="J176" s="285">
        <f ca="1">IFERROR(__xludf.DUMMYFUNCTION("IMPORTRANGE(""https://docs.google.com/spreadsheets/d/1XL5vhW3sbDhbH9Cz0tuDiY8C3ctxq1tqvaCgkFb8cCA/edit?usp=sharing"",""เลย!J101"")"),2)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IFERROR(__xludf.DUMMYFUNCTION("IMPORTRANGE(""https://docs.google.com/spreadsheets/d/1XL5vhW3sbDhbH9Cz0tuDiY8C3ctxq1tqvaCgkFb8cCA/edit?usp=sharing"",""เลย!J113"")"),0)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IFERROR(__xludf.DUMMYFUNCTION("IMPORTRANGE(""https://docs.google.com/spreadsheets/d/1XL5vhW3sbDhbH9Cz0tuDiY8C3ctxq1tqvaCgkFb8cCA/edit?usp=sharing"",""เลย!I114"")"),128000)</f>
        <v>128000</v>
      </c>
      <c r="J189" s="285">
        <f ca="1">IFERROR(__xludf.DUMMYFUNCTION("IMPORTRANGE(""https://docs.google.com/spreadsheets/d/1XL5vhW3sbDhbH9Cz0tuDiY8C3ctxq1tqvaCgkFb8cCA/edit?usp=sharing"",""เลย!J114"")"),128000)</f>
        <v>128000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IFERROR(__xludf.DUMMYFUNCTION("IMPORTRANGE(""https://docs.google.com/spreadsheets/d/1XL5vhW3sbDhbH9Cz0tuDiY8C3ctxq1tqvaCgkFb8cCA/edit?usp=sharing"",""เลย!J124"")"),128000)</f>
        <v>128000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IFERROR(__xludf.DUMMYFUNCTION("IMPORTRANGE(""https://docs.google.com/spreadsheets/d/1XL5vhW3sbDhbH9Cz0tuDiY8C3ctxq1tqvaCgkFb8cCA/edit?usp=sharing"",""เลย!J125"")"),128000)</f>
        <v>128000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IFERROR(__xludf.DUMMYFUNCTION("IMPORTRANGE(""https://docs.google.com/spreadsheets/d/1XL5vhW3sbDhbH9Cz0tuDiY8C3ctxq1tqvaCgkFb8cCA/edit?usp=sharing"",""เลย!J128"")"),0)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IFERROR(__xludf.DUMMYFUNCTION("IMPORTRANGE(""https://docs.google.com/spreadsheets/d/1XL5vhW3sbDhbH9Cz0tuDiY8C3ctxq1tqvaCgkFb8cCA/edit?usp=sharing"",""เลย!I129"")"),0)</f>
        <v>0</v>
      </c>
      <c r="J204" s="285">
        <f ca="1">IFERROR(__xludf.DUMMYFUNCTION("IMPORTRANGE(""https://docs.google.com/spreadsheets/d/1XL5vhW3sbDhbH9Cz0tuDiY8C3ctxq1tqvaCgkFb8cCA/edit?usp=sharing"",""เลย!J129"")"),0)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IFERROR(__xludf.DUMMYFUNCTION("IMPORTRANGE(""https://docs.google.com/spreadsheets/d/1Yj_ptqi66GCucihVvJfMjLAmec39IyEx_6qawtMGysU/edit?usp=sharing"",""สบก!BS49"")"),21125)</f>
        <v>21125</v>
      </c>
      <c r="N224" s="628">
        <f ca="1">IFERROR(__xludf.DUMMYFUNCTION("IMPORTRANGE(""https://docs.google.com/spreadsheets/d/1Yj_ptqi66GCucihVvJfMjLAmec39IyEx_6qawtMGysU/edit?usp=sharing"",""สบก!BT49"")"),20805)</f>
        <v>20805</v>
      </c>
      <c r="O224" s="169">
        <f ca="1">IF(L224&gt;0,N224*100/L224,0)</f>
        <v>98.485207100591722</v>
      </c>
      <c r="P224" s="169">
        <f ca="1">IF(M224&gt;0,N224*100/M224,0)</f>
        <v>98.485207100591722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IFERROR(__xludf.DUMMYFUNCTION("IMPORTRANGE(""https://docs.google.com/spreadsheets/d/1Yj_ptqi66GCucihVvJfMjLAmec39IyEx_6qawtMGysU/edit?usp=sharing"",""สบก!BQ49"")"),0)</f>
        <v>0</v>
      </c>
      <c r="M228" s="626"/>
      <c r="N228" s="623">
        <f ca="1">IFERROR(__xludf.DUMMYFUNCTION("IMPORTRANGE(""https://docs.google.com/spreadsheets/d/1Yj_ptqi66GCucihVvJfMjLAmec39IyEx_6qawtMGysU/edit?usp=sharing"",""สบก!BU49"")"),0)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IFERROR(__xludf.DUMMYFUNCTION("IMPORTRANGE(""https://docs.google.com/spreadsheets/d/1XL5vhW3sbDhbH9Cz0tuDiY8C3ctxq1tqvaCgkFb8cCA/edit?usp=sharing"",""เลย!I169"")"),0)</f>
        <v>0</v>
      </c>
      <c r="J249" s="317">
        <f ca="1">IFERROR(__xludf.DUMMYFUNCTION("IMPORTRANGE(""https://docs.google.com/spreadsheets/d/1XL5vhW3sbDhbH9Cz0tuDiY8C3ctxq1tqvaCgkFb8cCA/edit?usp=sharing"",""เลย!J169"")"),0)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IFERROR(__xludf.DUMMYFUNCTION("IMPORTRANGE(""https://docs.google.com/spreadsheets/d/1Yj_ptqi66GCucihVvJfMjLAmec39IyEx_6qawtMGysU/edit?usp=sharing"",""สบก!CB49"")"),0)</f>
        <v>0</v>
      </c>
      <c r="N254" s="628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IFERROR(__xludf.DUMMYFUNCTION("IMPORTRANGE(""https://docs.google.com/spreadsheets/d/1Yj_ptqi66GCucihVvJfMjLAmec39IyEx_6qawtMGysU/edit?usp=sharing"",""สบก!BZ49"")"),0)</f>
        <v>0</v>
      </c>
      <c r="M258" s="626"/>
      <c r="N258" s="623">
        <f ca="1">IFERROR(__xludf.DUMMYFUNCTION("IMPORTRANGE(""https://docs.google.com/spreadsheets/d/1Yj_ptqi66GCucihVvJfMjLAmec39IyEx_6qawtMGysU/edit?usp=sharing"",""สบก!CD49"")"),0)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IFERROR(__xludf.DUMMYFUNCTION("IMPORTRANGE(""https://docs.google.com/spreadsheets/d/1XL5vhW3sbDhbH9Cz0tuDiY8C3ctxq1tqvaCgkFb8cCA/edit?usp=sharing"",""เลย!J184"")"),0)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IFERROR(__xludf.DUMMYFUNCTION("IMPORTRANGE(""https://docs.google.com/spreadsheets/d/1XL5vhW3sbDhbH9Cz0tuDiY8C3ctxq1tqvaCgkFb8cCA/edit?usp=sharing"",""เลย!I185"")"),15)</f>
        <v>15</v>
      </c>
      <c r="J270" s="317">
        <f ca="1">IFERROR(__xludf.DUMMYFUNCTION("IMPORTRANGE(""https://docs.google.com/spreadsheets/d/1XL5vhW3sbDhbH9Cz0tuDiY8C3ctxq1tqvaCgkFb8cCA/edit?usp=sharing"",""เลย!J185"")"),15)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IFERROR(__xludf.DUMMYFUNCTION("IMPORTRANGE(""https://docs.google.com/spreadsheets/d/1Yj_ptqi66GCucihVvJfMjLAmec39IyEx_6qawtMGysU/edit?usp=sharing"",""สบก!CK49"")"),55200)</f>
        <v>55200</v>
      </c>
      <c r="N275" s="628">
        <f ca="1">IFERROR(__xludf.DUMMYFUNCTION("IMPORTRANGE(""https://docs.google.com/spreadsheets/d/1Yj_ptqi66GCucihVvJfMjLAmec39IyEx_6qawtMGysU/edit?usp=sharing"",""สบก!CL49"")"),55200)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IFERROR(__xludf.DUMMYFUNCTION("IMPORTRANGE(""https://docs.google.com/spreadsheets/d/1Yj_ptqi66GCucihVvJfMjLAmec39IyEx_6qawtMGysU/edit?usp=sharing"",""สบก!CI49"")"),0)</f>
        <v>0</v>
      </c>
      <c r="M279" s="626"/>
      <c r="N279" s="623">
        <f ca="1">IFERROR(__xludf.DUMMYFUNCTION("IMPORTRANGE(""https://docs.google.com/spreadsheets/d/1Yj_ptqi66GCucihVvJfMjLAmec39IyEx_6qawtMGysU/edit?usp=sharing"",""สบก!CM49"")"),0)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IFERROR(__xludf.DUMMYFUNCTION("IMPORTRANGE(""https://docs.google.com/spreadsheets/d/1XL5vhW3sbDhbH9Cz0tuDiY8C3ctxq1tqvaCgkFb8cCA/edit?usp=sharing"",""เลย!J197"")"),0)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IFERROR(__xludf.DUMMYFUNCTION("IMPORTRANGE(""https://docs.google.com/spreadsheets/d/1XL5vhW3sbDhbH9Cz0tuDiY8C3ctxq1tqvaCgkFb8cCA/edit?usp=sharing"",""เลย!I199"")"),0)</f>
        <v>0</v>
      </c>
      <c r="J289" s="317">
        <f ca="1">IFERROR(__xludf.DUMMYFUNCTION("IMPORTRANGE(""https://docs.google.com/spreadsheets/d/1XL5vhW3sbDhbH9Cz0tuDiY8C3ctxq1tqvaCgkFb8cCA/edit?usp=sharing"",""เลย!J199"")"),0)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IFERROR(__xludf.DUMMYFUNCTION("IMPORTRANGE(""https://docs.google.com/spreadsheets/d/1Yj_ptqi66GCucihVvJfMjLAmec39IyEx_6qawtMGysU/edit?usp=sharing"",""สบก!CT49"")"),0)</f>
        <v>0</v>
      </c>
      <c r="N294" s="628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IFERROR(__xludf.DUMMYFUNCTION("IMPORTRANGE(""https://docs.google.com/spreadsheets/d/1Yj_ptqi66GCucihVvJfMjLAmec39IyEx_6qawtMGysU/edit?usp=sharing"",""สบก!CR49"")"),0)</f>
        <v>0</v>
      </c>
      <c r="M298" s="626"/>
      <c r="N298" s="623">
        <f ca="1">IFERROR(__xludf.DUMMYFUNCTION("IMPORTRANGE(""https://docs.google.com/spreadsheets/d/1Yj_ptqi66GCucihVvJfMjLAmec39IyEx_6qawtMGysU/edit?usp=sharing"",""สบก!CV49"")"),0)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IFERROR(__xludf.DUMMYFUNCTION("IMPORTRANGE(""https://docs.google.com/spreadsheets/d/1XL5vhW3sbDhbH9Cz0tuDiY8C3ctxq1tqvaCgkFb8cCA/edit?usp=sharing"",""เลย!J213"")"),0)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IFERROR(__xludf.DUMMYFUNCTION("IMPORTRANGE(""https://docs.google.com/spreadsheets/d/1XL5vhW3sbDhbH9Cz0tuDiY8C3ctxq1tqvaCgkFb8cCA/edit?usp=sharing"",""เลย!I214"")"),0)</f>
        <v>0</v>
      </c>
      <c r="J309" s="334">
        <f ca="1">IFERROR(__xludf.DUMMYFUNCTION("IMPORTRANGE(""https://docs.google.com/spreadsheets/d/1XL5vhW3sbDhbH9Cz0tuDiY8C3ctxq1tqvaCgkFb8cCA/edit?usp=sharing"",""เลย!J214"")"),0)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IFERROR(__xludf.DUMMYFUNCTION("IMPORTRANGE(""https://docs.google.com/spreadsheets/d/1Yj_ptqi66GCucihVvJfMjLAmec39IyEx_6qawtMGysU/edit?usp=sharing"",""สบก!DC49"")"),0)</f>
        <v>0</v>
      </c>
      <c r="N314" s="628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IFERROR(__xludf.DUMMYFUNCTION("IMPORTRANGE(""https://docs.google.com/spreadsheets/d/1Yj_ptqi66GCucihVvJfMjLAmec39IyEx_6qawtMGysU/edit?usp=sharing"",""สบก!DA49"")"),0)</f>
        <v>0</v>
      </c>
      <c r="M318" s="626"/>
      <c r="N318" s="623">
        <f ca="1">IFERROR(__xludf.DUMMYFUNCTION("IMPORTRANGE(""https://docs.google.com/spreadsheets/d/1Yj_ptqi66GCucihVvJfMjLAmec39IyEx_6qawtMGysU/edit?usp=sharing"",""สบก!DE49"")"),0)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IFERROR(__xludf.DUMMYFUNCTION("IMPORTRANGE(""https://docs.google.com/spreadsheets/d/1XL5vhW3sbDhbH9Cz0tuDiY8C3ctxq1tqvaCgkFb8cCA/edit?usp=sharing"",""เลย!I228"")"),710)</f>
        <v>710</v>
      </c>
      <c r="J328" s="340">
        <f ca="1">IFERROR(__xludf.DUMMYFUNCTION("IMPORTRANGE(""https://docs.google.com/spreadsheets/d/1XL5vhW3sbDhbH9Cz0tuDiY8C3ctxq1tqvaCgkFb8cCA/edit?usp=sharing"",""เลย!J228"")"),954)</f>
        <v>954</v>
      </c>
      <c r="K328" s="318">
        <f ca="1">IF(I328&gt;0,J328*100/I328,0)</f>
        <v>134.36619718309859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994680</v>
      </c>
      <c r="M329" s="152">
        <f t="shared" ca="1" si="98"/>
        <v>1033680</v>
      </c>
      <c r="N329" s="152">
        <f t="shared" ca="1" si="98"/>
        <v>782154.69</v>
      </c>
      <c r="O329" s="151">
        <f t="shared" ref="O329:O331" ca="1" si="99">IF(L329&gt;0,N329*100/L329,0)</f>
        <v>78.633800820364343</v>
      </c>
      <c r="P329" s="151">
        <f t="shared" ref="P329:P331" ca="1" si="100">IF(M329&gt;0,N329*100/M329,0)</f>
        <v>75.667004295333172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994680</v>
      </c>
      <c r="M331" s="157">
        <f t="shared" ca="1" si="102"/>
        <v>1033680</v>
      </c>
      <c r="N331" s="157">
        <f t="shared" ca="1" si="102"/>
        <v>782154.69</v>
      </c>
      <c r="O331" s="156">
        <f t="shared" ca="1" si="99"/>
        <v>78.633800820364343</v>
      </c>
      <c r="P331" s="156">
        <f t="shared" ca="1" si="100"/>
        <v>75.667004295333172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994680</v>
      </c>
      <c r="M333" s="627">
        <f ca="1">IFERROR(__xludf.DUMMYFUNCTION("IMPORTRANGE(""https://docs.google.com/spreadsheets/d/1Yj_ptqi66GCucihVvJfMjLAmec39IyEx_6qawtMGysU/edit?usp=sharing"",""สบก!DL49"")"),1033680)</f>
        <v>1033680</v>
      </c>
      <c r="N333" s="628">
        <f ca="1">IFERROR(__xludf.DUMMYFUNCTION("IMPORTRANGE(""https://docs.google.com/spreadsheets/d/1Yj_ptqi66GCucihVvJfMjLAmec39IyEx_6qawtMGysU/edit?usp=sharing"",""สบก!DM49"")"),782154.69)</f>
        <v>782154.69</v>
      </c>
      <c r="O333" s="169">
        <f ca="1">IF(L333&gt;0,N333*100/L333,0)</f>
        <v>78.633800820364343</v>
      </c>
      <c r="P333" s="169">
        <f ca="1">IF(M333&gt;0,N333*100/M333,0)</f>
        <v>75.667004295333172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IFERROR(__xludf.DUMMYFUNCTION("IMPORTRANGE(""https://docs.google.com/spreadsheets/d/1Yj_ptqi66GCucihVvJfMjLAmec39IyEx_6qawtMGysU/edit?usp=sharing"",""สบก!DI49"")"),688680)</f>
        <v>688680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IFERROR(__xludf.DUMMYFUNCTION("IMPORTRANGE(""https://docs.google.com/spreadsheets/d/1Yj_ptqi66GCucihVvJfMjLAmec39IyEx_6qawtMGysU/edit?usp=sharing"",""สบก!DJ49"")"),0)</f>
        <v>0</v>
      </c>
      <c r="M337" s="626"/>
      <c r="N337" s="623">
        <f ca="1">IFERROR(__xludf.DUMMYFUNCTION("IMPORTRANGE(""https://docs.google.com/spreadsheets/d/1Yj_ptqi66GCucihVvJfMjLAmec39IyEx_6qawtMGysU/edit?usp=sharing"",""สบก!DN49"")"),0)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IFERROR(__xludf.DUMMYFUNCTION("IMPORTRANGE(""https://docs.google.com/spreadsheets/d/1XL5vhW3sbDhbH9Cz0tuDiY8C3ctxq1tqvaCgkFb8cCA/edit?usp=sharing"",""เลย!J234"")"),400)</f>
        <v>400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IFERROR(__xludf.DUMMYFUNCTION("IMPORTRANGE(""https://docs.google.com/spreadsheets/d/1XL5vhW3sbDhbH9Cz0tuDiY8C3ctxq1tqvaCgkFb8cCA/edit?usp=sharing"",""เลย!J235"")"),3810.19)</f>
        <v>3810.19</v>
      </c>
      <c r="K340" s="343">
        <f t="shared" ca="1" si="103"/>
        <v>94.311633663366337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IFERROR(__xludf.DUMMYFUNCTION("IMPORTRANGE(""https://docs.google.com/spreadsheets/d/1XL5vhW3sbDhbH9Cz0tuDiY8C3ctxq1tqvaCgkFb8cCA/edit?usp=sharing"",""เลย!J236"")"),944)</f>
        <v>944</v>
      </c>
      <c r="K341" s="343">
        <f t="shared" ca="1" si="103"/>
        <v>132.95774647887325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IFERROR(__xludf.DUMMYFUNCTION("IMPORTRANGE(""https://docs.google.com/spreadsheets/d/1XL5vhW3sbDhbH9Cz0tuDiY8C3ctxq1tqvaCgkFb8cCA/edit?usp=sharing"",""เลย!J237"")"),13291.5)</f>
        <v>13291.5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IFERROR(__xludf.DUMMYFUNCTION("IMPORTRANGE(""https://docs.google.com/spreadsheets/d/1XL5vhW3sbDhbH9Cz0tuDiY8C3ctxq1tqvaCgkFb8cCA/edit?usp=sharing"",""เลย!J240"")"),954)</f>
        <v>954</v>
      </c>
      <c r="K345" s="343">
        <f t="shared" ca="1" si="103"/>
        <v>134.36619718309859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IFERROR(__xludf.DUMMYFUNCTION("IMPORTRANGE(""https://docs.google.com/spreadsheets/d/1XL5vhW3sbDhbH9Cz0tuDiY8C3ctxq1tqvaCgkFb8cCA/edit?usp=sharing"",""เลย!J241"")"),13450.24)</f>
        <v>13450.24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IFERROR(__xludf.DUMMYFUNCTION("IMPORTRANGE(""https://docs.google.com/spreadsheets/d/1XL5vhW3sbDhbH9Cz0tuDiY8C3ctxq1tqvaCgkFb8cCA/edit?usp=sharing"",""เลย!L242"")"),3070246)</f>
        <v>3070246</v>
      </c>
      <c r="M347" s="358"/>
      <c r="N347" s="358">
        <f ca="1">IFERROR(__xludf.DUMMYFUNCTION("IMPORTRANGE(""https://docs.google.com/spreadsheets/d/1XL5vhW3sbDhbH9Cz0tuDiY8C3ctxq1tqvaCgkFb8cCA/edit?usp=sharing"",""เลย!M242"")"),2470281)</f>
        <v>2470281</v>
      </c>
      <c r="O347" s="358">
        <f ca="1">+IF(L347&gt;0,N347*100/L347,0)</f>
        <v>80.45873197131435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IFERROR(__xludf.DUMMYFUNCTION("IMPORTRANGE(""https://docs.google.com/spreadsheets/d/1XL5vhW3sbDhbH9Cz0tuDiY8C3ctxq1tqvaCgkFb8cCA/edit?usp=sharing"",""เลย!M244"")"),487680)</f>
        <v>487680</v>
      </c>
      <c r="O349" s="373">
        <f ca="1">+IF(L349&gt;0,N349*100/L349,0)</f>
        <v>95.683566159158687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IFERROR(__xludf.DUMMYFUNCTION("IMPORTRANGE(""https://docs.google.com/spreadsheets/d/1XL5vhW3sbDhbH9Cz0tuDiY8C3ctxq1tqvaCgkFb8cCA/edit?usp=sharing"",""เลย!L247"")"),509680)</f>
        <v>509680</v>
      </c>
      <c r="M352" s="165"/>
      <c r="N352" s="164">
        <f ca="1">IFERROR(__xludf.DUMMYFUNCTION("IMPORTRANGE(""https://docs.google.com/spreadsheets/d/1XL5vhW3sbDhbH9Cz0tuDiY8C3ctxq1tqvaCgkFb8cCA/edit?usp=sharing"",""เลย!M247"")"),487680)</f>
        <v>487680</v>
      </c>
      <c r="O352" s="165">
        <f t="shared" ca="1" si="105"/>
        <v>95.683566159158687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IFERROR(__xludf.DUMMYFUNCTION("IMPORTRANGE(""https://docs.google.com/spreadsheets/d/1XL5vhW3sbDhbH9Cz0tuDiY8C3ctxq1tqvaCgkFb8cCA/edit?usp=sharing"",""เลย!L249"")"),509680)</f>
        <v>509680</v>
      </c>
      <c r="M354" s="169"/>
      <c r="N354" s="168">
        <f ca="1">IFERROR(__xludf.DUMMYFUNCTION("IMPORTRANGE(""https://docs.google.com/spreadsheets/d/1XL5vhW3sbDhbH9Cz0tuDiY8C3ctxq1tqvaCgkFb8cCA/edit?usp=sharing"",""เลย!M249"")"),487680)</f>
        <v>487680</v>
      </c>
      <c r="O354" s="169">
        <f t="shared" ca="1" si="105"/>
        <v>95.683566159158687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IFERROR(__xludf.DUMMYFUNCTION("IMPORTRANGE(""https://docs.google.com/spreadsheets/d/1XL5vhW3sbDhbH9Cz0tuDiY8C3ctxq1tqvaCgkFb8cCA/edit?usp=sharing"",""เลย!M250"")"),107400)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IFERROR(__xludf.DUMMYFUNCTION("IMPORTRANGE(""https://docs.google.com/spreadsheets/d/1XL5vhW3sbDhbH9Cz0tuDiY8C3ctxq1tqvaCgkFb8cCA/edit?usp=sharing"",""เลย!M251"")"),209500)</f>
        <v>209500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IFERROR(__xludf.DUMMYFUNCTION("IMPORTRANGE(""https://docs.google.com/spreadsheets/d/1XL5vhW3sbDhbH9Cz0tuDiY8C3ctxq1tqvaCgkFb8cCA/edit?usp=sharing"",""เลย!M252"")"),134000)</f>
        <v>134000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IFERROR(__xludf.DUMMYFUNCTION("IMPORTRANGE(""https://docs.google.com/spreadsheets/d/1XL5vhW3sbDhbH9Cz0tuDiY8C3ctxq1tqvaCgkFb8cCA/edit?usp=sharing"",""เลย!M253"")"),36780)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IFERROR(__xludf.DUMMYFUNCTION("IMPORTRANGE(""https://docs.google.com/spreadsheets/d/1XL5vhW3sbDhbH9Cz0tuDiY8C3ctxq1tqvaCgkFb8cCA/edit?usp=sharing"",""เลย!M275"")"),677880)</f>
        <v>677880</v>
      </c>
      <c r="O380" s="373">
        <f ca="1">+IF(L380&gt;0,N380*100/L380,0)</f>
        <v>65.908295414770734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IFERROR(__xludf.DUMMYFUNCTION("IMPORTRANGE(""https://docs.google.com/spreadsheets/d/1XL5vhW3sbDhbH9Cz0tuDiY8C3ctxq1tqvaCgkFb8cCA/edit?usp=sharing"",""เลย!M278"")"),677880)</f>
        <v>677880</v>
      </c>
      <c r="O383" s="165">
        <f t="shared" ca="1" si="109"/>
        <v>65.908295414770734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IFERROR(__xludf.DUMMYFUNCTION("IMPORTRANGE(""https://docs.google.com/spreadsheets/d/1XL5vhW3sbDhbH9Cz0tuDiY8C3ctxq1tqvaCgkFb8cCA/edit?usp=sharing"",""เลย!M280"")"),677880)</f>
        <v>677880</v>
      </c>
      <c r="O385" s="169">
        <f t="shared" ca="1" si="109"/>
        <v>65.908295414770734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IFERROR(__xludf.DUMMYFUNCTION("IMPORTRANGE(""https://docs.google.com/spreadsheets/d/1XL5vhW3sbDhbH9Cz0tuDiY8C3ctxq1tqvaCgkFb8cCA/edit?usp=sharing"",""เลย!M281"")"),168000)</f>
        <v>168000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IFERROR(__xludf.DUMMYFUNCTION("IMPORTRANGE(""https://docs.google.com/spreadsheets/d/1XL5vhW3sbDhbH9Cz0tuDiY8C3ctxq1tqvaCgkFb8cCA/edit?usp=sharing"",""เลย!M282"")"),346000)</f>
        <v>346000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IFERROR(__xludf.DUMMYFUNCTION("IMPORTRANGE(""https://docs.google.com/spreadsheets/d/1XL5vhW3sbDhbH9Cz0tuDiY8C3ctxq1tqvaCgkFb8cCA/edit?usp=sharing"",""เลย!M283"")"),123000)</f>
        <v>123000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IFERROR(__xludf.DUMMYFUNCTION("IMPORTRANGE(""https://docs.google.com/spreadsheets/d/1XL5vhW3sbDhbH9Cz0tuDiY8C3ctxq1tqvaCgkFb8cCA/edit?usp=sharing"",""เลย!M284"")"),40880)</f>
        <v>40880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IFERROR(__xludf.DUMMYFUNCTION("IMPORTRANGE(""https://docs.google.com/spreadsheets/d/1XL5vhW3sbDhbH9Cz0tuDiY8C3ctxq1tqvaCgkFb8cCA/edit?usp=sharing"",""เลย!M296"")"),106710)</f>
        <v>106710</v>
      </c>
      <c r="O401" s="373">
        <f ca="1">+IF(L401&gt;0,N401*100/L401,0)</f>
        <v>72.537556930188288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IFERROR(__xludf.DUMMYFUNCTION("IMPORTRANGE(""https://docs.google.com/spreadsheets/d/1XL5vhW3sbDhbH9Cz0tuDiY8C3ctxq1tqvaCgkFb8cCA/edit?usp=sharing"",""เลย!M299"")"),106710)</f>
        <v>106710</v>
      </c>
      <c r="O404" s="169">
        <f t="shared" ca="1" si="112"/>
        <v>72.537556930188288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IFERROR(__xludf.DUMMYFUNCTION("IMPORTRANGE(""https://docs.google.com/spreadsheets/d/1XL5vhW3sbDhbH9Cz0tuDiY8C3ctxq1tqvaCgkFb8cCA/edit?usp=sharing"",""เลย!M301"")"),106710)</f>
        <v>106710</v>
      </c>
      <c r="O406" s="169">
        <f t="shared" ca="1" si="112"/>
        <v>72.537556930188288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IFERROR(__xludf.DUMMYFUNCTION("IMPORTRANGE(""https://docs.google.com/spreadsheets/d/1XL5vhW3sbDhbH9Cz0tuDiY8C3ctxq1tqvaCgkFb8cCA/edit?usp=sharing"",""เลย!M302"")"),86750)</f>
        <v>86750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IFERROR(__xludf.DUMMYFUNCTION("IMPORTRANGE(""https://docs.google.com/spreadsheets/d/1XL5vhW3sbDhbH9Cz0tuDiY8C3ctxq1tqvaCgkFb8cCA/edit?usp=sharing"",""เลย!M303"")"),0)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IFERROR(__xludf.DUMMYFUNCTION("IMPORTRANGE(""https://docs.google.com/spreadsheets/d/1XL5vhW3sbDhbH9Cz0tuDiY8C3ctxq1tqvaCgkFb8cCA/edit?usp=sharing"",""เลย!M305"")"),19960)</f>
        <v>19960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IFERROR(__xludf.DUMMYFUNCTION("IMPORTRANGE(""https://docs.google.com/spreadsheets/d/1XL5vhW3sbDhbH9Cz0tuDiY8C3ctxq1tqvaCgkFb8cCA/edit?usp=sharing"",""เลย!J329"")"),0)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IFERROR(__xludf.DUMMYFUNCTION("IMPORTRANGE(""https://docs.google.com/spreadsheets/d/1XL5vhW3sbDhbH9Cz0tuDiY8C3ctxq1tqvaCgkFb8cCA/edit?usp=sharing"",""เลย!M330"")"),69455)</f>
        <v>69455</v>
      </c>
      <c r="O435" s="412">
        <f t="shared" ref="O435:O439" ca="1" si="114">+IF(L435&gt;0,N435*100/L435,0)</f>
        <v>90.201298701298697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IFERROR(__xludf.DUMMYFUNCTION("IMPORTRANGE(""https://docs.google.com/spreadsheets/d/1XL5vhW3sbDhbH9Cz0tuDiY8C3ctxq1tqvaCgkFb8cCA/edit?usp=sharing"",""เลย!M332"")"),69455)</f>
        <v>69455</v>
      </c>
      <c r="O437" s="169">
        <f t="shared" ca="1" si="114"/>
        <v>90.201298701298697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IFERROR(__xludf.DUMMYFUNCTION("IMPORTRANGE(""https://docs.google.com/spreadsheets/d/1XL5vhW3sbDhbH9Cz0tuDiY8C3ctxq1tqvaCgkFb8cCA/edit?usp=sharing"",""เลย!M334"")"),69455)</f>
        <v>69455</v>
      </c>
      <c r="O439" s="169">
        <f t="shared" ca="1" si="114"/>
        <v>90.201298701298697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IFERROR(__xludf.DUMMYFUNCTION("IMPORTRANGE(""https://docs.google.com/spreadsheets/d/1XL5vhW3sbDhbH9Cz0tuDiY8C3ctxq1tqvaCgkFb8cCA/edit?usp=sharing"",""เลย!M335"")"),26200)</f>
        <v>26200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IFERROR(__xludf.DUMMYFUNCTION("IMPORTRANGE(""https://docs.google.com/spreadsheets/d/1XL5vhW3sbDhbH9Cz0tuDiY8C3ctxq1tqvaCgkFb8cCA/edit?usp=sharing"",""เลย!M338"")"),43255)</f>
        <v>43255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IFERROR(__xludf.DUMMYFUNCTION("IMPORTRANGE(""https://docs.google.com/spreadsheets/d/1XL5vhW3sbDhbH9Cz0tuDiY8C3ctxq1tqvaCgkFb8cCA/edit?usp=sharing"",""เลย!J349"")"),0)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IFERROR(__xludf.DUMMYFUNCTION("IMPORTRANGE(""https://docs.google.com/spreadsheets/d/1XL5vhW3sbDhbH9Cz0tuDiY8C3ctxq1tqvaCgkFb8cCA/edit?usp=sharing"",""เลย!J350"")"),57180)</f>
        <v>57180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IFERROR(__xludf.DUMMYFUNCTION("IMPORTRANGE(""https://docs.google.com/spreadsheets/d/1XL5vhW3sbDhbH9Cz0tuDiY8C3ctxq1tqvaCgkFb8cCA/edit?usp=sharing"",""เลย!L350"")"),532736)</f>
        <v>532736</v>
      </c>
      <c r="M455" s="373"/>
      <c r="N455" s="373">
        <f ca="1">IFERROR(__xludf.DUMMYFUNCTION("IMPORTRANGE(""https://docs.google.com/spreadsheets/d/1XL5vhW3sbDhbH9Cz0tuDiY8C3ctxq1tqvaCgkFb8cCA/edit?usp=sharing"",""เลย!M350"")"),424516)</f>
        <v>424516</v>
      </c>
      <c r="O455" s="373">
        <f t="shared" ref="O455:O459" ca="1" si="116">+IF(L455&gt;0,N455*100/L455,0)</f>
        <v>79.68599831811629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IFERROR(__xludf.DUMMYFUNCTION("IMPORTRANGE(""https://docs.google.com/spreadsheets/d/1XL5vhW3sbDhbH9Cz0tuDiY8C3ctxq1tqvaCgkFb8cCA/edit?usp=sharing"",""เลย!L352"")"),532736)</f>
        <v>532736</v>
      </c>
      <c r="M457" s="165"/>
      <c r="N457" s="169">
        <f ca="1">IFERROR(__xludf.DUMMYFUNCTION("IMPORTRANGE(""https://docs.google.com/spreadsheets/d/1XL5vhW3sbDhbH9Cz0tuDiY8C3ctxq1tqvaCgkFb8cCA/edit?usp=sharing"",""เลย!M352"")"),424516)</f>
        <v>424516</v>
      </c>
      <c r="O457" s="169">
        <f t="shared" ca="1" si="116"/>
        <v>79.68599831811629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IFERROR(__xludf.DUMMYFUNCTION("IMPORTRANGE(""https://docs.google.com/spreadsheets/d/1XL5vhW3sbDhbH9Cz0tuDiY8C3ctxq1tqvaCgkFb8cCA/edit?usp=sharing"",""เลย!L354"")"),532736)</f>
        <v>532736</v>
      </c>
      <c r="M459" s="169"/>
      <c r="N459" s="169">
        <f ca="1">IFERROR(__xludf.DUMMYFUNCTION("IMPORTRANGE(""https://docs.google.com/spreadsheets/d/1XL5vhW3sbDhbH9Cz0tuDiY8C3ctxq1tqvaCgkFb8cCA/edit?usp=sharing"",""เลย!M354"")"),424516)</f>
        <v>424516</v>
      </c>
      <c r="O459" s="169">
        <f t="shared" ca="1" si="116"/>
        <v>79.68599831811629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IFERROR(__xludf.DUMMYFUNCTION("IMPORTRANGE(""https://docs.google.com/spreadsheets/d/1XL5vhW3sbDhbH9Cz0tuDiY8C3ctxq1tqvaCgkFb8cCA/edit?usp=sharing"",""เลย!M357"")"),99000)</f>
        <v>99000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IFERROR(__xludf.DUMMYFUNCTION("IMPORTRANGE(""https://docs.google.com/spreadsheets/d/1XL5vhW3sbDhbH9Cz0tuDiY8C3ctxq1tqvaCgkFb8cCA/edit?usp=sharing"",""เลย!M358"")"),325516)</f>
        <v>325516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IFERROR(__xludf.DUMMYFUNCTION("IMPORTRANGE(""https://docs.google.com/spreadsheets/d/1XL5vhW3sbDhbH9Cz0tuDiY8C3ctxq1tqvaCgkFb8cCA/edit?usp=sharing"",""เลย!J359"")"),57180)</f>
        <v>57180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IFERROR(__xludf.DUMMYFUNCTION("IMPORTRANGE(""https://docs.google.com/spreadsheets/d/1XL5vhW3sbDhbH9Cz0tuDiY8C3ctxq1tqvaCgkFb8cCA/edit?usp=sharing"",""เลย!J376"")"),57180)</f>
        <v>57180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IFERROR(__xludf.DUMMYFUNCTION("IMPORTRANGE(""https://docs.google.com/spreadsheets/d/1XL5vhW3sbDhbH9Cz0tuDiY8C3ctxq1tqvaCgkFb8cCA/edit?usp=sharing"",""เลย!J378"")"),55464)</f>
        <v>55464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IFERROR(__xludf.DUMMYFUNCTION("IMPORTRANGE(""https://docs.google.com/spreadsheets/d/1XL5vhW3sbDhbH9Cz0tuDiY8C3ctxq1tqvaCgkFb8cCA/edit?usp=sharing"",""เลย!J379"")"),5645)</f>
        <v>5645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IFERROR(__xludf.DUMMYFUNCTION("IMPORTRANGE(""https://docs.google.com/spreadsheets/d/1XL5vhW3sbDhbH9Cz0tuDiY8C3ctxq1tqvaCgkFb8cCA/edit?usp=sharing"",""เลย!J380"")"),441)</f>
        <v>441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IFERROR(__xludf.DUMMYFUNCTION("IMPORTRANGE(""https://docs.google.com/spreadsheets/d/1XL5vhW3sbDhbH9Cz0tuDiY8C3ctxq1tqvaCgkFb8cCA/edit?usp=sharing"",""เลย!J381"")"),19)</f>
        <v>19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IFERROR(__xludf.DUMMYFUNCTION("IMPORTRANGE(""https://docs.google.com/spreadsheets/d/1XL5vhW3sbDhbH9Cz0tuDiY8C3ctxq1tqvaCgkFb8cCA/edit?usp=sharing"",""เลย!J382"")"),1275)</f>
        <v>1275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IFERROR(__xludf.DUMMYFUNCTION("IMPORTRANGE(""https://docs.google.com/spreadsheets/d/1XL5vhW3sbDhbH9Cz0tuDiY8C3ctxq1tqvaCgkFb8cCA/edit?usp=sharing"",""เลย!J383"")"),138)</f>
        <v>138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IFERROR(__xludf.DUMMYFUNCTION("IMPORTRANGE(""https://docs.google.com/spreadsheets/d/1XL5vhW3sbDhbH9Cz0tuDiY8C3ctxq1tqvaCgkFb8cCA/edit?usp=sharing"",""เลย!J384"")"),1275)</f>
        <v>1275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IFERROR(__xludf.DUMMYFUNCTION("IMPORTRANGE(""https://docs.google.com/spreadsheets/d/1XL5vhW3sbDhbH9Cz0tuDiY8C3ctxq1tqvaCgkFb8cCA/edit?usp=sharing"",""เลย!J385"")"),138)</f>
        <v>138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IFERROR(__xludf.DUMMYFUNCTION("IMPORTRANGE(""https://docs.google.com/spreadsheets/d/1XL5vhW3sbDhbH9Cz0tuDiY8C3ctxq1tqvaCgkFb8cCA/edit?usp=sharing"",""เลย!J397"")"),1013)</f>
        <v>1013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IFERROR(__xludf.DUMMYFUNCTION("IMPORTRANGE(""https://docs.google.com/spreadsheets/d/1XL5vhW3sbDhbH9Cz0tuDiY8C3ctxq1tqvaCgkFb8cCA/edit?usp=sharing"",""เลย!J398"")"),70)</f>
        <v>70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IFERROR(__xludf.DUMMYFUNCTION("IMPORTRANGE(""https://docs.google.com/spreadsheets/d/1XL5vhW3sbDhbH9Cz0tuDiY8C3ctxq1tqvaCgkFb8cCA/edit?usp=sharing"",""เลย!J399"")"),629)</f>
        <v>629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IFERROR(__xludf.DUMMYFUNCTION("IMPORTRANGE(""https://docs.google.com/spreadsheets/d/1XL5vhW3sbDhbH9Cz0tuDiY8C3ctxq1tqvaCgkFb8cCA/edit?usp=sharing"",""เลย!J400"")"),51)</f>
        <v>51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9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40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IFERROR(__xludf.DUMMYFUNCTION("IMPORTRANGE(""https://docs.google.com/spreadsheets/d/1XL5vhW3sbDhbH9Cz0tuDiY8C3ctxq1tqvaCgkFb8cCA/edit?usp=sharing"",""เลย!I412"")"),0)</f>
        <v>0</v>
      </c>
      <c r="J517" s="285">
        <f ca="1">IFERROR(__xludf.DUMMYFUNCTION("IMPORTRANGE(""https://docs.google.com/spreadsheets/d/1XL5vhW3sbDhbH9Cz0tuDiY8C3ctxq1tqvaCgkFb8cCA/edit?usp=sharing"",""เลย!J412"")"),0)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IFERROR(__xludf.DUMMYFUNCTION("IMPORTRANGE(""https://docs.google.com/spreadsheets/d/1XL5vhW3sbDhbH9Cz0tuDiY8C3ctxq1tqvaCgkFb8cCA/edit?usp=sharing"",""เลย!I413"")"),0)</f>
        <v>0</v>
      </c>
      <c r="J518" s="285">
        <f ca="1">IFERROR(__xludf.DUMMYFUNCTION("IMPORTRANGE(""https://docs.google.com/spreadsheets/d/1XL5vhW3sbDhbH9Cz0tuDiY8C3ctxq1tqvaCgkFb8cCA/edit?usp=sharing"",""เลย!J413"")"),0)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IFERROR(__xludf.DUMMYFUNCTION("IMPORTRANGE(""https://docs.google.com/spreadsheets/d/1XL5vhW3sbDhbH9Cz0tuDiY8C3ctxq1tqvaCgkFb8cCA/edit?usp=sharing"",""เลย!J418"")"),280)</f>
        <v>280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IFERROR(__xludf.DUMMYFUNCTION("IMPORTRANGE(""https://docs.google.com/spreadsheets/d/1XL5vhW3sbDhbH9Cz0tuDiY8C3ctxq1tqvaCgkFb8cCA/edit?usp=sharing"",""เลย!I420"")"),280)</f>
        <v>280</v>
      </c>
      <c r="J525" s="285">
        <f ca="1">IFERROR(__xludf.DUMMYFUNCTION("IMPORTRANGE(""https://docs.google.com/spreadsheets/d/1XL5vhW3sbDhbH9Cz0tuDiY8C3ctxq1tqvaCgkFb8cCA/edit?usp=sharing"",""เลย!J420"")"),0)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IFERROR(__xludf.DUMMYFUNCTION("IMPORTRANGE(""https://docs.google.com/spreadsheets/d/1XL5vhW3sbDhbH9Cz0tuDiY8C3ctxq1tqvaCgkFb8cCA/edit?usp=sharing"",""เลย!I421"")"),20)</f>
        <v>20</v>
      </c>
      <c r="J526" s="285">
        <f ca="1">IFERROR(__xludf.DUMMYFUNCTION("IMPORTRANGE(""https://docs.google.com/spreadsheets/d/1XL5vhW3sbDhbH9Cz0tuDiY8C3ctxq1tqvaCgkFb8cCA/edit?usp=sharing"",""เลย!J421"")"),0)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IFERROR(__xludf.DUMMYFUNCTION("IMPORTRANGE(""https://docs.google.com/spreadsheets/d/1XL5vhW3sbDhbH9Cz0tuDiY8C3ctxq1tqvaCgkFb8cCA/edit?usp=sharing"",""เลย!M428"")"),31600)</f>
        <v>31600</v>
      </c>
      <c r="O533" s="412">
        <f t="shared" ref="O533:O537" ca="1" si="118">+IF(L533&gt;0,N533*100/L533,0)</f>
        <v>92.020966802562612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IFERROR(__xludf.DUMMYFUNCTION("IMPORTRANGE(""https://docs.google.com/spreadsheets/d/1XL5vhW3sbDhbH9Cz0tuDiY8C3ctxq1tqvaCgkFb8cCA/edit?usp=sharing"",""เลย!M430"")"),31600)</f>
        <v>31600</v>
      </c>
      <c r="O535" s="169">
        <f t="shared" ca="1" si="118"/>
        <v>92.020966802562612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IFERROR(__xludf.DUMMYFUNCTION("IMPORTRANGE(""https://docs.google.com/spreadsheets/d/1XL5vhW3sbDhbH9Cz0tuDiY8C3ctxq1tqvaCgkFb8cCA/edit?usp=sharing"",""เลย!M432"")"),31600)</f>
        <v>31600</v>
      </c>
      <c r="O537" s="169">
        <f t="shared" ca="1" si="118"/>
        <v>92.020966802562612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IFERROR(__xludf.DUMMYFUNCTION("IMPORTRANGE(""https://docs.google.com/spreadsheets/d/1XL5vhW3sbDhbH9Cz0tuDiY8C3ctxq1tqvaCgkFb8cCA/edit?usp=sharing"",""เลย!M436"")"),12860)</f>
        <v>12860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IFERROR(__xludf.DUMMYFUNCTION("IMPORTRANGE(""https://docs.google.com/spreadsheets/d/1XL5vhW3sbDhbH9Cz0tuDiY8C3ctxq1tqvaCgkFb8cCA/edit?usp=sharing"",""เลย!J446"")"),5185)</f>
        <v>5185</v>
      </c>
      <c r="K551" s="411">
        <f ca="1">IF(I551&gt;0,J551*100/I551,0)</f>
        <v>103.7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IFERROR(__xludf.DUMMYFUNCTION("IMPORTRANGE(""https://docs.google.com/spreadsheets/d/1XL5vhW3sbDhbH9Cz0tuDiY8C3ctxq1tqvaCgkFb8cCA/edit?usp=sharing"",""เลย!M446"")"),291200)</f>
        <v>291200</v>
      </c>
      <c r="O551" s="412">
        <f t="shared" ref="O551:O555" ca="1" si="120">+IF(L551&gt;0,N551*100/L551,0)</f>
        <v>93.935483870967744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IFERROR(__xludf.DUMMYFUNCTION("IMPORTRANGE(""https://docs.google.com/spreadsheets/d/1XL5vhW3sbDhbH9Cz0tuDiY8C3ctxq1tqvaCgkFb8cCA/edit?usp=sharing"",""เลย!M448"")"),291200)</f>
        <v>291200</v>
      </c>
      <c r="O553" s="169">
        <f t="shared" ca="1" si="120"/>
        <v>93.935483870967744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IFERROR(__xludf.DUMMYFUNCTION("IMPORTRANGE(""https://docs.google.com/spreadsheets/d/1XL5vhW3sbDhbH9Cz0tuDiY8C3ctxq1tqvaCgkFb8cCA/edit?usp=sharing"",""เลย!M450"")"),291200)</f>
        <v>291200</v>
      </c>
      <c r="O555" s="169">
        <f t="shared" ca="1" si="120"/>
        <v>93.935483870967744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IFERROR(__xludf.DUMMYFUNCTION("IMPORTRANGE(""https://docs.google.com/spreadsheets/d/1XL5vhW3sbDhbH9Cz0tuDiY8C3ctxq1tqvaCgkFb8cCA/edit?usp=sharing"",""เลย!M453"")"),89100)</f>
        <v>89100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IFERROR(__xludf.DUMMYFUNCTION("IMPORTRANGE(""https://docs.google.com/spreadsheets/d/1XL5vhW3sbDhbH9Cz0tuDiY8C3ctxq1tqvaCgkFb8cCA/edit?usp=sharing"",""เลย!M454"")"),202100)</f>
        <v>202100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IFERROR(__xludf.DUMMYFUNCTION("IMPORTRANGE(""https://docs.google.com/spreadsheets/d/1XL5vhW3sbDhbH9Cz0tuDiY8C3ctxq1tqvaCgkFb8cCA/edit?usp=sharing"",""เลย!J455"")"),5185)</f>
        <v>5185</v>
      </c>
      <c r="K560" s="225">
        <f t="shared" ref="K560:K561" ca="1" si="121">IF(I560&gt;0,J560*100/I560,0)</f>
        <v>103.7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IFERROR(__xludf.DUMMYFUNCTION("IMPORTRANGE(""https://docs.google.com/spreadsheets/d/1XL5vhW3sbDhbH9Cz0tuDiY8C3ctxq1tqvaCgkFb8cCA/edit?usp=sharing"",""เลย!J456"")"),407)</f>
        <v>407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IFERROR(__xludf.DUMMYFUNCTION("IMPORTRANGE(""https://docs.google.com/spreadsheets/d/1XL5vhW3sbDhbH9Cz0tuDiY8C3ctxq1tqvaCgkFb8cCA/edit?usp=sharing"",""เลย!J459"")"),6738)</f>
        <v>6738</v>
      </c>
      <c r="K564" s="372">
        <f ca="1">IF(I564&gt;0,J564*100/I564,0)</f>
        <v>198.1764705882353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IFERROR(__xludf.DUMMYFUNCTION("IMPORTRANGE(""https://docs.google.com/spreadsheets/d/1XL5vhW3sbDhbH9Cz0tuDiY8C3ctxq1tqvaCgkFb8cCA/edit?usp=sharing"",""เลย!M459"")"),164800)</f>
        <v>164800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IFERROR(__xludf.DUMMYFUNCTION("IMPORTRANGE(""https://docs.google.com/spreadsheets/d/1XL5vhW3sbDhbH9Cz0tuDiY8C3ctxq1tqvaCgkFb8cCA/edit?usp=sharing"",""เลย!M461"")"),164800)</f>
        <v>164800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IFERROR(__xludf.DUMMYFUNCTION("IMPORTRANGE(""https://docs.google.com/spreadsheets/d/1XL5vhW3sbDhbH9Cz0tuDiY8C3ctxq1tqvaCgkFb8cCA/edit?usp=sharing"",""เลย!M463"")"),164800)</f>
        <v>164800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IFERROR(__xludf.DUMMYFUNCTION("IMPORTRANGE(""https://docs.google.com/spreadsheets/d/1XL5vhW3sbDhbH9Cz0tuDiY8C3ctxq1tqvaCgkFb8cCA/edit?usp=sharing"",""เลย!M466"")"),98266)</f>
        <v>98266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IFERROR(__xludf.DUMMYFUNCTION("IMPORTRANGE(""https://docs.google.com/spreadsheets/d/1XL5vhW3sbDhbH9Cz0tuDiY8C3ctxq1tqvaCgkFb8cCA/edit?usp=sharing"",""เลย!M467"")"),66534)</f>
        <v>66534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IFERROR(__xludf.DUMMYFUNCTION("IMPORTRANGE(""https://docs.google.com/spreadsheets/d/1XL5vhW3sbDhbH9Cz0tuDiY8C3ctxq1tqvaCgkFb8cCA/edit?usp=sharing"",""เลย!J468"")"),6738)</f>
        <v>6738</v>
      </c>
      <c r="K573" s="202">
        <f ca="1">IF(I573&gt;0,J573*100/I573,0)</f>
        <v>198.1764705882353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IFERROR(__xludf.DUMMYFUNCTION("IMPORTRANGE(""https://docs.google.com/spreadsheets/d/1XL5vhW3sbDhbH9Cz0tuDiY8C3ctxq1tqvaCgkFb8cCA/edit?usp=sharing"",""เลย!J471"")"),824)</f>
        <v>824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IFERROR(__xludf.DUMMYFUNCTION("IMPORTRANGE(""https://docs.google.com/spreadsheets/d/1XL5vhW3sbDhbH9Cz0tuDiY8C3ctxq1tqvaCgkFb8cCA/edit?usp=sharing"",""เลย!J472"")"),5895)</f>
        <v>5895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IFERROR(__xludf.DUMMYFUNCTION("IMPORTRANGE(""https://docs.google.com/spreadsheets/d/1XL5vhW3sbDhbH9Cz0tuDiY8C3ctxq1tqvaCgkFb8cCA/edit?usp=sharing"",""เลย!J474"")"),10)</f>
        <v>10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IFERROR(__xludf.DUMMYFUNCTION("IMPORTRANGE(""https://docs.google.com/spreadsheets/d/1XL5vhW3sbDhbH9Cz0tuDiY8C3ctxq1tqvaCgkFb8cCA/edit?usp=sharing"",""เลย!M475"")"),214640)</f>
        <v>214640</v>
      </c>
      <c r="O580" s="373">
        <f t="shared" ref="O580:O584" ca="1" si="124">+IF(L580&gt;0,N580*100/L580,0)</f>
        <v>83.303578359077861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IFERROR(__xludf.DUMMYFUNCTION("IMPORTRANGE(""https://docs.google.com/spreadsheets/d/1XL5vhW3sbDhbH9Cz0tuDiY8C3ctxq1tqvaCgkFb8cCA/edit?usp=sharing"",""เลย!M477"")"),214640)</f>
        <v>214640</v>
      </c>
      <c r="O582" s="169">
        <f t="shared" ca="1" si="124"/>
        <v>83.303578359077861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IFERROR(__xludf.DUMMYFUNCTION("IMPORTRANGE(""https://docs.google.com/spreadsheets/d/1XL5vhW3sbDhbH9Cz0tuDiY8C3ctxq1tqvaCgkFb8cCA/edit?usp=sharing"",""เลย!M479"")"),214640)</f>
        <v>214640</v>
      </c>
      <c r="O584" s="169">
        <f t="shared" ca="1" si="124"/>
        <v>83.303578359077861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IFERROR(__xludf.DUMMYFUNCTION("IMPORTRANGE(""https://docs.google.com/spreadsheets/d/1XL5vhW3sbDhbH9Cz0tuDiY8C3ctxq1tqvaCgkFb8cCA/edit?usp=sharing"",""เลย!M482"")"),66000)</f>
        <v>66000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IFERROR(__xludf.DUMMYFUNCTION("IMPORTRANGE(""https://docs.google.com/spreadsheets/d/1XL5vhW3sbDhbH9Cz0tuDiY8C3ctxq1tqvaCgkFb8cCA/edit?usp=sharing"",""เลย!M483"")"),148640)</f>
        <v>148640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IFERROR(__xludf.DUMMYFUNCTION("IMPORTRANGE(""https://docs.google.com/spreadsheets/d/1XL5vhW3sbDhbH9Cz0tuDiY8C3ctxq1tqvaCgkFb8cCA/edit?usp=sharing"",""เลย!J484"")"),109)</f>
        <v>109</v>
      </c>
      <c r="K589" s="163">
        <f t="shared" ref="K589:K596" ca="1" si="125">IF(I589&gt;0,J589*100/I589,0)</f>
        <v>181.66666666666666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IFERROR(__xludf.DUMMYFUNCTION("IMPORTRANGE(""https://docs.google.com/spreadsheets/d/1XL5vhW3sbDhbH9Cz0tuDiY8C3ctxq1tqvaCgkFb8cCA/edit?usp=sharing"",""เลย!J485"")"),86.74)</f>
        <v>86.74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IFERROR(__xludf.DUMMYFUNCTION("IMPORTRANGE(""https://docs.google.com/spreadsheets/d/1XL5vhW3sbDhbH9Cz0tuDiY8C3ctxq1tqvaCgkFb8cCA/edit?usp=sharing"",""เลย!J486"")"),55)</f>
        <v>55</v>
      </c>
      <c r="K591" s="163">
        <f t="shared" ca="1" si="125"/>
        <v>91.666666666666671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IFERROR(__xludf.DUMMYFUNCTION("IMPORTRANGE(""https://docs.google.com/spreadsheets/d/1XL5vhW3sbDhbH9Cz0tuDiY8C3ctxq1tqvaCgkFb8cCA/edit?usp=sharing"",""เลย!J487"")"),39.18)</f>
        <v>39.18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IFERROR(__xludf.DUMMYFUNCTION("IMPORTRANGE(""https://docs.google.com/spreadsheets/d/1XL5vhW3sbDhbH9Cz0tuDiY8C3ctxq1tqvaCgkFb8cCA/edit?usp=sharing"",""เลย!J488"")"),37)</f>
        <v>37</v>
      </c>
      <c r="K593" s="163">
        <f t="shared" ca="1" si="125"/>
        <v>61.666666666666664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IFERROR(__xludf.DUMMYFUNCTION("IMPORTRANGE(""https://docs.google.com/spreadsheets/d/1XL5vhW3sbDhbH9Cz0tuDiY8C3ctxq1tqvaCgkFb8cCA/edit?usp=sharing"",""เลย!J489"")"),28.89)</f>
        <v>28.89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8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IFERROR(__xludf.DUMMYFUNCTION("IMPORTRANGE(""https://docs.google.com/spreadsheets/d/1XL5vhW3sbDhbH9Cz0tuDiY8C3ctxq1tqvaCgkFb8cCA/edit?usp=sharing"",""เลย!M492"")"),1800)</f>
        <v>1800</v>
      </c>
      <c r="O597" s="412">
        <f t="shared" ref="O597:O601" ca="1" si="126">+IF(L597&gt;0,N597*100/L597,0)</f>
        <v>21.428571428571427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IFERROR(__xludf.DUMMYFUNCTION("IMPORTRANGE(""https://docs.google.com/spreadsheets/d/1XL5vhW3sbDhbH9Cz0tuDiY8C3ctxq1tqvaCgkFb8cCA/edit?usp=sharing"",""เลย!L494"")"),8400)</f>
        <v>8400</v>
      </c>
      <c r="M599" s="165"/>
      <c r="N599" s="169">
        <f ca="1">IFERROR(__xludf.DUMMYFUNCTION("IMPORTRANGE(""https://docs.google.com/spreadsheets/d/1XL5vhW3sbDhbH9Cz0tuDiY8C3ctxq1tqvaCgkFb8cCA/edit?usp=sharing"",""เลย!M494"")"),1800)</f>
        <v>1800</v>
      </c>
      <c r="O599" s="169">
        <f t="shared" ca="1" si="126"/>
        <v>21.428571428571427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IFERROR(__xludf.DUMMYFUNCTION("IMPORTRANGE(""https://docs.google.com/spreadsheets/d/1XL5vhW3sbDhbH9Cz0tuDiY8C3ctxq1tqvaCgkFb8cCA/edit?usp=sharing"",""เลย!L496"")"),8400)</f>
        <v>8400</v>
      </c>
      <c r="M601" s="169"/>
      <c r="N601" s="169">
        <f ca="1">IFERROR(__xludf.DUMMYFUNCTION("IMPORTRANGE(""https://docs.google.com/spreadsheets/d/1XL5vhW3sbDhbH9Cz0tuDiY8C3ctxq1tqvaCgkFb8cCA/edit?usp=sharing"",""เลย!M496"")"),1800)</f>
        <v>1800</v>
      </c>
      <c r="O601" s="169">
        <f t="shared" ca="1" si="126"/>
        <v>21.428571428571427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IFERROR(__xludf.DUMMYFUNCTION("IMPORTRANGE(""https://docs.google.com/spreadsheets/d/1XL5vhW3sbDhbH9Cz0tuDiY8C3ctxq1tqvaCgkFb8cCA/edit?usp=sharing"",""เลย!M500"")"),1800)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IFERROR(__xludf.DUMMYFUNCTION("IMPORTRANGE(""https://docs.google.com/spreadsheets/d/1XL5vhW3sbDhbH9Cz0tuDiY8C3ctxq1tqvaCgkFb8cCA/edit?usp=sharing"",""เลย!J166"")"),0)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IFERROR(__xludf.DUMMYFUNCTION("IMPORTRANGE(""https://docs.google.com/spreadsheets/d/1XL5vhW3sbDhbH9Cz0tuDiY8C3ctxq1tqvaCgkFb8cCA/edit?usp=sharing"",""เลย!J166"")"),0)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IFERROR(__xludf.DUMMYFUNCTION("IMPORTRANGE(""https://docs.google.com/spreadsheets/d/1XL5vhW3sbDhbH9Cz0tuDiY8C3ctxq1tqvaCgkFb8cCA/edit?usp=sharing"",""เลย!J507"")"),100)</f>
        <v>100</v>
      </c>
      <c r="K612" s="163">
        <f t="shared" ca="1" si="127"/>
        <v>83.333333333333329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IFERROR(__xludf.DUMMYFUNCTION("IMPORTRANGE(""https://docs.google.com/spreadsheets/d/1XL5vhW3sbDhbH9Cz0tuDiY8C3ctxq1tqvaCgkFb8cCA/edit?usp=sharing"",""เลย!J508"")"),100)</f>
        <v>100</v>
      </c>
      <c r="K613" s="163">
        <f t="shared" ca="1" si="127"/>
        <v>83.333333333333329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IFERROR(__xludf.DUMMYFUNCTION("IMPORTRANGE(""https://docs.google.com/spreadsheets/d/1XL5vhW3sbDhbH9Cz0tuDiY8C3ctxq1tqvaCgkFb8cCA/edit?usp=sharing"",""เลย!J509"")"),100)</f>
        <v>100</v>
      </c>
      <c r="K614" s="163">
        <f t="shared" ca="1" si="127"/>
        <v>83.333333333333329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IFERROR(__xludf.DUMMYFUNCTION("IMPORTRANGE(""https://docs.google.com/spreadsheets/d/1XL5vhW3sbDhbH9Cz0tuDiY8C3ctxq1tqvaCgkFb8cCA/edit?usp=sharing"",""เลย!J510"")"),100)</f>
        <v>100</v>
      </c>
      <c r="K615" s="163">
        <f t="shared" ca="1" si="127"/>
        <v>83.333333333333329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IFERROR(__xludf.DUMMYFUNCTION("IMPORTRANGE(""https://docs.google.com/spreadsheets/d/1XL5vhW3sbDhbH9Cz0tuDiY8C3ctxq1tqvaCgkFb8cCA/edit?usp=sharing"",""เลย!I523"")"),14378772.56)</f>
        <v>14378772.560000001</v>
      </c>
      <c r="J628" s="342">
        <f ca="1">IFERROR(__xludf.DUMMYFUNCTION("IMPORTRANGE(""https://docs.google.com/spreadsheets/d/1XL5vhW3sbDhbH9Cz0tuDiY8C3ctxq1tqvaCgkFb8cCA/edit?usp=sharing"",""เลย!J523"")"),14433082.34)</f>
        <v>14433082.34</v>
      </c>
      <c r="K628" s="343">
        <f t="shared" ref="K628:K635" ca="1" si="129">IF(I628&gt;0,J628*100/I628,0)</f>
        <v>100.37770803991353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IFERROR(__xludf.DUMMYFUNCTION("IMPORTRANGE(""https://docs.google.com/spreadsheets/d/1XL5vhW3sbDhbH9Cz0tuDiY8C3ctxq1tqvaCgkFb8cCA/edit?usp=sharing"",""เลย!I524"")"),302)</f>
        <v>302</v>
      </c>
      <c r="J629" s="342">
        <f ca="1">IFERROR(__xludf.DUMMYFUNCTION("IMPORTRANGE(""https://docs.google.com/spreadsheets/d/1XL5vhW3sbDhbH9Cz0tuDiY8C3ctxq1tqvaCgkFb8cCA/edit?usp=sharing"",""เลย!J524"")"),303)</f>
        <v>303</v>
      </c>
      <c r="K629" s="343">
        <f t="shared" ca="1" si="129"/>
        <v>100.33112582781457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IFERROR(__xludf.DUMMYFUNCTION("IMPORTRANGE(""https://docs.google.com/spreadsheets/d/1XL5vhW3sbDhbH9Cz0tuDiY8C3ctxq1tqvaCgkFb8cCA/edit?usp=sharing"",""เลย!I525"")"),18014555.35)</f>
        <v>18014555.350000001</v>
      </c>
      <c r="J630" s="342">
        <f ca="1">IFERROR(__xludf.DUMMYFUNCTION("IMPORTRANGE(""https://docs.google.com/spreadsheets/d/1XL5vhW3sbDhbH9Cz0tuDiY8C3ctxq1tqvaCgkFb8cCA/edit?usp=sharing"",""เลย!J525"")"),2913111.33)</f>
        <v>2913111.33</v>
      </c>
      <c r="K630" s="343">
        <f t="shared" ca="1" si="129"/>
        <v>16.17087556923796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IFERROR(__xludf.DUMMYFUNCTION("IMPORTRANGE(""https://docs.google.com/spreadsheets/d/1XL5vhW3sbDhbH9Cz0tuDiY8C3ctxq1tqvaCgkFb8cCA/edit?usp=sharing"",""เลย!I526"")"),510)</f>
        <v>510</v>
      </c>
      <c r="J631" s="342">
        <f ca="1">IFERROR(__xludf.DUMMYFUNCTION("IMPORTRANGE(""https://docs.google.com/spreadsheets/d/1XL5vhW3sbDhbH9Cz0tuDiY8C3ctxq1tqvaCgkFb8cCA/edit?usp=sharing"",""เลย!J526"")"),284)</f>
        <v>284</v>
      </c>
      <c r="K631" s="343">
        <f t="shared" ca="1" si="129"/>
        <v>55.686274509803923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IFERROR(__xludf.DUMMYFUNCTION("IMPORTRANGE(""https://docs.google.com/spreadsheets/d/1XL5vhW3sbDhbH9Cz0tuDiY8C3ctxq1tqvaCgkFb8cCA/edit?usp=sharing"",""เลย!I527"")"),6149.25)</f>
        <v>6149.25</v>
      </c>
      <c r="J632" s="342">
        <f ca="1">IFERROR(__xludf.DUMMYFUNCTION("IMPORTRANGE(""https://docs.google.com/spreadsheets/d/1XL5vhW3sbDhbH9Cz0tuDiY8C3ctxq1tqvaCgkFb8cCA/edit?usp=sharing"",""เลย!J527"")"),5309.25)</f>
        <v>5309.25</v>
      </c>
      <c r="K632" s="343">
        <f t="shared" ca="1" si="129"/>
        <v>86.339797536284919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IFERROR(__xludf.DUMMYFUNCTION("IMPORTRANGE(""https://docs.google.com/spreadsheets/d/1XL5vhW3sbDhbH9Cz0tuDiY8C3ctxq1tqvaCgkFb8cCA/edit?usp=sharing"",""เลย!I528"")"),4)</f>
        <v>4</v>
      </c>
      <c r="J633" s="342">
        <f ca="1">IFERROR(__xludf.DUMMYFUNCTION("IMPORTRANGE(""https://docs.google.com/spreadsheets/d/1XL5vhW3sbDhbH9Cz0tuDiY8C3ctxq1tqvaCgkFb8cCA/edit?usp=sharing"",""เลย!J528"")"),3)</f>
        <v>3</v>
      </c>
      <c r="K633" s="343">
        <f t="shared" ca="1" si="129"/>
        <v>75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IFERROR(__xludf.DUMMYFUNCTION("IMPORTRANGE(""https://docs.google.com/spreadsheets/d/1XL5vhW3sbDhbH9Cz0tuDiY8C3ctxq1tqvaCgkFb8cCA/edit?usp=sharing"",""เลย!I529"")"),13880000)</f>
        <v>13880000</v>
      </c>
      <c r="J634" s="342">
        <f ca="1">IFERROR(__xludf.DUMMYFUNCTION("IMPORTRANGE(""https://docs.google.com/spreadsheets/d/1XL5vhW3sbDhbH9Cz0tuDiY8C3ctxq1tqvaCgkFb8cCA/edit?usp=sharing"",""เลย!J529"")"),13880000)</f>
        <v>13880000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IFERROR(__xludf.DUMMYFUNCTION("IMPORTRANGE(""https://docs.google.com/spreadsheets/d/1XL5vhW3sbDhbH9Cz0tuDiY8C3ctxq1tqvaCgkFb8cCA/edit?usp=sharing"",""เลย!I530"")"),290)</f>
        <v>290</v>
      </c>
      <c r="J635" s="505">
        <f ca="1">IFERROR(__xludf.DUMMYFUNCTION("IMPORTRANGE(""https://docs.google.com/spreadsheets/d/1XL5vhW3sbDhbH9Cz0tuDiY8C3ctxq1tqvaCgkFb8cCA/edit?usp=sharing"",""เลย!J530"")"),278)</f>
        <v>278</v>
      </c>
      <c r="K635" s="487">
        <f t="shared" ca="1" si="129"/>
        <v>95.862068965517238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IFERROR(__xludf.DUMMYFUNCTION("IMPORTRANGE(""https://docs.google.com/spreadsheets/d/1XL5vhW3sbDhbH9Cz0tuDiY8C3ctxq1tqvaCgkFb8cCA/edit#gid=346597447"",""เลย!J541"")"),0)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IFERROR(__xludf.DUMMYFUNCTION("IMPORTRANGE(""https://docs.google.com/spreadsheets/d/1XL5vhW3sbDhbH9Cz0tuDiY8C3ctxq1tqvaCgkFb8cCA/edit#gid=346597447"",""เลย!J542"")"),0)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IFERROR(__xludf.DUMMYFUNCTION("IMPORTRANGE(""https://docs.google.com/spreadsheets/d/1XL5vhW3sbDhbH9Cz0tuDiY8C3ctxq1tqvaCgkFb8cCA/edit#gid=346597447"",""เลย!I543"")"),0)</f>
        <v>0</v>
      </c>
      <c r="J648" s="586">
        <f ca="1">IFERROR(__xludf.DUMMYFUNCTION("IMPORTRANGE(""https://docs.google.com/spreadsheets/d/1XL5vhW3sbDhbH9Cz0tuDiY8C3ctxq1tqvaCgkFb8cCA/edit#gid=346597447"",""เลย!J543"")"),0)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IFERROR(__xludf.DUMMYFUNCTION("IMPORTRANGE(""https://docs.google.com/spreadsheets/d/1XL5vhW3sbDhbH9Cz0tuDiY8C3ctxq1tqvaCgkFb8cCA/edit#gid=346597447"",""เลย!L543"")"),0)</f>
        <v>0</v>
      </c>
      <c r="M648" s="571"/>
      <c r="N648" s="588">
        <f ca="1">IFERROR(__xludf.DUMMYFUNCTION("IMPORTRANGE(""https://docs.google.com/spreadsheets/d/1XL5vhW3sbDhbH9Cz0tuDiY8C3ctxq1tqvaCgkFb8cCA/edit#gid=346597447"",""เลย!M543"")"),0)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IFERROR(__xludf.DUMMYFUNCTION("IMPORTRANGE(""https://docs.google.com/spreadsheets/d/1XL5vhW3sbDhbH9Cz0tuDiY8C3ctxq1tqvaCgkFb8cCA/edit#gid=346597447"",""เลย!I544"")"),0)</f>
        <v>0</v>
      </c>
      <c r="J649" s="586">
        <f ca="1">IFERROR(__xludf.DUMMYFUNCTION("IMPORTRANGE(""https://docs.google.com/spreadsheets/d/1XL5vhW3sbDhbH9Cz0tuDiY8C3ctxq1tqvaCgkFb8cCA/edit#gid=346597447"",""เลย!J544"")"),0)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IFERROR(__xludf.DUMMYFUNCTION("IMPORTRANGE(""https://docs.google.com/spreadsheets/d/1XL5vhW3sbDhbH9Cz0tuDiY8C3ctxq1tqvaCgkFb8cCA/edit#gid=346597447"",""เลย!L544"")"),0)</f>
        <v>0</v>
      </c>
      <c r="M649" s="571"/>
      <c r="N649" s="588">
        <f ca="1">IFERROR(__xludf.DUMMYFUNCTION("IMPORTRANGE(""https://docs.google.com/spreadsheets/d/1XL5vhW3sbDhbH9Cz0tuDiY8C3ctxq1tqvaCgkFb8cCA/edit#gid=346597447"",""เลย!M544"")"),0)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IFERROR(__xludf.DUMMYFUNCTION("IMPORTRANGE(""https://docs.google.com/spreadsheets/d/1XL5vhW3sbDhbH9Cz0tuDiY8C3ctxq1tqvaCgkFb8cCA/edit#gid=346597447"",""เลย!I545"")"),0)</f>
        <v>0</v>
      </c>
      <c r="J650" s="586">
        <f ca="1">IFERROR(__xludf.DUMMYFUNCTION("IMPORTRANGE(""https://docs.google.com/spreadsheets/d/1XL5vhW3sbDhbH9Cz0tuDiY8C3ctxq1tqvaCgkFb8cCA/edit#gid=346597447"",""เลย!J545"")"),0)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IFERROR(__xludf.DUMMYFUNCTION("IMPORTRANGE(""https://docs.google.com/spreadsheets/d/1XL5vhW3sbDhbH9Cz0tuDiY8C3ctxq1tqvaCgkFb8cCA/edit#gid=346597447"",""เลย!L545"")"),0)</f>
        <v>0</v>
      </c>
      <c r="M650" s="571"/>
      <c r="N650" s="588">
        <f ca="1">IFERROR(__xludf.DUMMYFUNCTION("IMPORTRANGE(""https://docs.google.com/spreadsheets/d/1XL5vhW3sbDhbH9Cz0tuDiY8C3ctxq1tqvaCgkFb8cCA/edit#gid=346597447"",""เลย!M545"")"),0)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IFERROR(__xludf.DUMMYFUNCTION("IMPORTRANGE(""https://docs.google.com/spreadsheets/d/1XL5vhW3sbDhbH9Cz0tuDiY8C3ctxq1tqvaCgkFb8cCA/edit#gid=346597447"",""เลย!I546"")"),0)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IFERROR(__xludf.DUMMYFUNCTION("IMPORTRANGE(""https://docs.google.com/spreadsheets/d/1XL5vhW3sbDhbH9Cz0tuDiY8C3ctxq1tqvaCgkFb8cCA/edit#gid=346597447"",""เลย!L546"")"),0)</f>
        <v>0</v>
      </c>
      <c r="M651" s="571"/>
      <c r="N651" s="588">
        <f ca="1">IFERROR(__xludf.DUMMYFUNCTION("IMPORTRANGE(""https://docs.google.com/spreadsheets/d/1XL5vhW3sbDhbH9Cz0tuDiY8C3ctxq1tqvaCgkFb8cCA/edit#gid=346597447"",""เลย!M546"")"),0)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IFERROR(__xludf.DUMMYFUNCTION("IMPORTRANGE(""https://docs.google.com/spreadsheets/d/1XL5vhW3sbDhbH9Cz0tuDiY8C3ctxq1tqvaCgkFb8cCA/edit#gid=346597447"",""เลย!J547"")"),0)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IFERROR(__xludf.DUMMYFUNCTION("IMPORTRANGE(""https://docs.google.com/spreadsheets/d/1XL5vhW3sbDhbH9Cz0tuDiY8C3ctxq1tqvaCgkFb8cCA/edit#gid=346597447"",""เลย!J548"")"),0)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IFERROR(__xludf.DUMMYFUNCTION("IMPORTRANGE(""https://docs.google.com/spreadsheets/d/1XL5vhW3sbDhbH9Cz0tuDiY8C3ctxq1tqvaCgkFb8cCA/edit#gid=346597447"",""เลย!J550"")"),0)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IFERROR(__xludf.DUMMYFUNCTION("IMPORTRANGE(""https://docs.google.com/spreadsheets/d/1XL5vhW3sbDhbH9Cz0tuDiY8C3ctxq1tqvaCgkFb8cCA/edit#gid=346597447"",""เลย!J551"")"),0)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IFERROR(__xludf.DUMMYFUNCTION("IMPORTRANGE(""https://docs.google.com/spreadsheets/d/1XL5vhW3sbDhbH9Cz0tuDiY8C3ctxq1tqvaCgkFb8cCA/edit#gid=346597447"",""เลย!J552"")"),0)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IFERROR(__xludf.DUMMYFUNCTION("IMPORTRANGE(""https://docs.google.com/spreadsheets/d/1XL5vhW3sbDhbH9Cz0tuDiY8C3ctxq1tqvaCgkFb8cCA/edit#gid=346597447"",""เลย!J553"")"),0)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IFERROR(__xludf.DUMMYFUNCTION("IMPORTRANGE(""https://docs.google.com/spreadsheets/d/1XL5vhW3sbDhbH9Cz0tuDiY8C3ctxq1tqvaCgkFb8cCA/edit#gid=346597447"",""เลย!J554"")"),0)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IFERROR(__xludf.DUMMYFUNCTION("IMPORTRANGE(""https://docs.google.com/spreadsheets/d/1XL5vhW3sbDhbH9Cz0tuDiY8C3ctxq1tqvaCgkFb8cCA/edit#gid=346597447"",""เลย!J555"")"),0)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IFERROR(__xludf.DUMMYFUNCTION("IMPORTRANGE(""https://docs.google.com/spreadsheets/d/1XL5vhW3sbDhbH9Cz0tuDiY8C3ctxq1tqvaCgkFb8cCA/edit#gid=346597447"",""เลย!J556"")"),0)</f>
        <v>0</v>
      </c>
      <c r="K661" s="587"/>
      <c r="L661" s="572">
        <f ca="1">IFERROR(__xludf.DUMMYFUNCTION("IMPORTRANGE(""https://docs.google.com/spreadsheets/d/1XL5vhW3sbDhbH9Cz0tuDiY8C3ctxq1tqvaCgkFb8cCA/edit#gid=346597447"",""เลย!L556"")"),0)</f>
        <v>0</v>
      </c>
      <c r="M661" s="571"/>
      <c r="N661" s="588">
        <f ca="1">IFERROR(__xludf.DUMMYFUNCTION("IMPORTRANGE(""https://docs.google.com/spreadsheets/d/1XL5vhW3sbDhbH9Cz0tuDiY8C3ctxq1tqvaCgkFb8cCA/edit#gid=346597447"",""เลย!M556"")"),0)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IFERROR(__xludf.DUMMYFUNCTION("IMPORTRANGE(""https://docs.google.com/spreadsheets/d/1XL5vhW3sbDhbH9Cz0tuDiY8C3ctxq1tqvaCgkFb8cCA/edit#gid=346597447"",""เลย!J557"")"),0)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IFERROR(__xludf.DUMMYFUNCTION("IMPORTRANGE(""https://docs.google.com/spreadsheets/d/1XL5vhW3sbDhbH9Cz0tuDiY8C3ctxq1tqvaCgkFb8cCA/edit#gid=346597447"",""เลย!I558"")"),0)</f>
        <v>0</v>
      </c>
      <c r="J663" s="586">
        <f ca="1">IFERROR(__xludf.DUMMYFUNCTION("IMPORTRANGE(""https://docs.google.com/spreadsheets/d/1XL5vhW3sbDhbH9Cz0tuDiY8C3ctxq1tqvaCgkFb8cCA/edit#gid=346597447"",""เลย!J558"")"),0)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IFERROR(__xludf.DUMMYFUNCTION("IMPORTRANGE(""https://docs.google.com/spreadsheets/d/1XL5vhW3sbDhbH9Cz0tuDiY8C3ctxq1tqvaCgkFb8cCA/edit#gid=346597447"",""เลย!I560"")"),0)</f>
        <v>0</v>
      </c>
      <c r="J665" s="586">
        <f ca="1">IFERROR(__xludf.DUMMYFUNCTION("IMPORTRANGE(""https://docs.google.com/spreadsheets/d/1XL5vhW3sbDhbH9Cz0tuDiY8C3ctxq1tqvaCgkFb8cCA/edit#gid=346597447"",""เลย!J560"")"),0)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IFERROR(__xludf.DUMMYFUNCTION("IMPORTRANGE(""https://docs.google.com/spreadsheets/d/1XL5vhW3sbDhbH9Cz0tuDiY8C3ctxq1tqvaCgkFb8cCA/edit#gid=346597447"",""เลย!L560"")"),0)</f>
        <v>0</v>
      </c>
      <c r="M665" s="571"/>
      <c r="N665" s="588">
        <f ca="1">IFERROR(__xludf.DUMMYFUNCTION("IMPORTRANGE(""https://docs.google.com/spreadsheets/d/1XL5vhW3sbDhbH9Cz0tuDiY8C3ctxq1tqvaCgkFb8cCA/edit#gid=346597447"",""เลย!M560"")"),0)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IFERROR(__xludf.DUMMYFUNCTION("IMPORTRANGE(""https://docs.google.com/spreadsheets/d/1XL5vhW3sbDhbH9Cz0tuDiY8C3ctxq1tqvaCgkFb8cCA/edit#gid=346597447"",""เลย!J561"")"),0)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IFERROR(__xludf.DUMMYFUNCTION("IMPORTRANGE(""https://docs.google.com/spreadsheets/d/1XL5vhW3sbDhbH9Cz0tuDiY8C3ctxq1tqvaCgkFb8cCA/edit#gid=346597447"",""เลย!J562"")"),0)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IFERROR(__xludf.DUMMYFUNCTION("IMPORTRANGE(""https://docs.google.com/spreadsheets/d/1XL5vhW3sbDhbH9Cz0tuDiY8C3ctxq1tqvaCgkFb8cCA/edit#gid=346597447"",""เลย!I563"")"),0)</f>
        <v>0</v>
      </c>
      <c r="J668" s="586">
        <f ca="1">IFERROR(__xludf.DUMMYFUNCTION("IMPORTRANGE(""https://docs.google.com/spreadsheets/d/1XL5vhW3sbDhbH9Cz0tuDiY8C3ctxq1tqvaCgkFb8cCA/edit#gid=346597447"",""เลย!J563"")"),0)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IFERROR(__xludf.DUMMYFUNCTION("IMPORTRANGE(""https://docs.google.com/spreadsheets/d/1XL5vhW3sbDhbH9Cz0tuDiY8C3ctxq1tqvaCgkFb8cCA/edit#gid=346597447"",""เลย!L563"")"),0)</f>
        <v>0</v>
      </c>
      <c r="M668" s="571"/>
      <c r="N668" s="588">
        <f ca="1">IFERROR(__xludf.DUMMYFUNCTION("IMPORTRANGE(""https://docs.google.com/spreadsheets/d/1XL5vhW3sbDhbH9Cz0tuDiY8C3ctxq1tqvaCgkFb8cCA/edit#gid=346597447"",""เลย!M563"")"),0)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IFERROR(__xludf.DUMMYFUNCTION("IMPORTRANGE(""https://docs.google.com/spreadsheets/d/1XL5vhW3sbDhbH9Cz0tuDiY8C3ctxq1tqvaCgkFb8cCA/edit#gid=346597447"",""เลย!J564"")"),0)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IFERROR(__xludf.DUMMYFUNCTION("IMPORTRANGE(""https://docs.google.com/spreadsheets/d/1XL5vhW3sbDhbH9Cz0tuDiY8C3ctxq1tqvaCgkFb8cCA/edit#gid=346597447"",""เลย!J565"")"),0)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IFERROR(__xludf.DUMMYFUNCTION("IMPORTRANGE(""https://docs.google.com/spreadsheets/d/1XL5vhW3sbDhbH9Cz0tuDiY8C3ctxq1tqvaCgkFb8cCA/edit#gid=346597447"",""เลย!I566"")"),0)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IFERROR(__xludf.DUMMYFUNCTION("IMPORTRANGE(""https://docs.google.com/spreadsheets/d/1XL5vhW3sbDhbH9Cz0tuDiY8C3ctxq1tqvaCgkFb8cCA/edit#gid=346597447"",""เลย!L566"")"),0)</f>
        <v>0</v>
      </c>
      <c r="M671" s="571"/>
      <c r="N671" s="588">
        <f ca="1">IFERROR(__xludf.DUMMYFUNCTION("IMPORTRANGE(""https://docs.google.com/spreadsheets/d/1XL5vhW3sbDhbH9Cz0tuDiY8C3ctxq1tqvaCgkFb8cCA/edit#gid=346597447"",""เลย!M566"")"),0)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IFERROR(__xludf.DUMMYFUNCTION("IMPORTRANGE(""https://docs.google.com/spreadsheets/d/1XL5vhW3sbDhbH9Cz0tuDiY8C3ctxq1tqvaCgkFb8cCA/edit#gid=346597447"",""เลย!J567"")"),0)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IFERROR(__xludf.DUMMYFUNCTION("IMPORTRANGE(""https://docs.google.com/spreadsheets/d/1XL5vhW3sbDhbH9Cz0tuDiY8C3ctxq1tqvaCgkFb8cCA/edit#gid=346597447"",""เลย!J568"")"),0)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IFERROR(__xludf.DUMMYFUNCTION("IMPORTRANGE(""https://docs.google.com/spreadsheets/d/1XL5vhW3sbDhbH9Cz0tuDiY8C3ctxq1tqvaCgkFb8cCA/edit#gid=346597447"",""เลย!J569"")"),0)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IFERROR(__xludf.DUMMYFUNCTION("IMPORTRANGE(""https://docs.google.com/spreadsheets/d/1XL5vhW3sbDhbH9Cz0tuDiY8C3ctxq1tqvaCgkFb8cCA/edit#gid=346597447"",""เลย!J570"")"),0)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IFERROR(__xludf.DUMMYFUNCTION("IMPORTRANGE(""https://docs.google.com/spreadsheets/d/1XL5vhW3sbDhbH9Cz0tuDiY8C3ctxq1tqvaCgkFb8cCA/edit#gid=346597447"",""เลย!J571"")"),0)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IFERROR(__xludf.DUMMYFUNCTION("IMPORTRANGE(""https://docs.google.com/spreadsheets/d/1XL5vhW3sbDhbH9Cz0tuDiY8C3ctxq1tqvaCgkFb8cCA/edit#gid=346597447"",""เลย!J572"")"),0)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8848736</v>
      </c>
      <c r="M8" s="23">
        <f t="shared" ca="1" si="0"/>
        <v>5770140.3599999994</v>
      </c>
      <c r="N8" s="23">
        <f t="shared" ca="1" si="0"/>
        <v>6882655.2699999996</v>
      </c>
      <c r="O8" s="22">
        <f t="shared" ref="O8:O16" ca="1" si="1">IF(L8&gt;0,N8*100/L8,0)</f>
        <v>77.781225137691976</v>
      </c>
      <c r="P8" s="22">
        <f t="shared" ref="P8:P16" ca="1" si="2">IF(M8&gt;0,N8*100/M8,0)</f>
        <v>119.28055195523876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8848736</v>
      </c>
      <c r="M10" s="30">
        <f t="shared" ca="1" si="4"/>
        <v>5770140.3599999994</v>
      </c>
      <c r="N10" s="30">
        <f t="shared" ca="1" si="4"/>
        <v>6882655.2699999996</v>
      </c>
      <c r="O10" s="29">
        <f t="shared" ca="1" si="1"/>
        <v>77.781225137691976</v>
      </c>
      <c r="P10" s="29">
        <f t="shared" ca="1" si="2"/>
        <v>119.28055195523876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7731736</v>
      </c>
      <c r="M12" s="38">
        <f t="shared" ca="1" si="6"/>
        <v>4653140.3599999994</v>
      </c>
      <c r="N12" s="38">
        <f t="shared" ca="1" si="6"/>
        <v>5945655.2699999996</v>
      </c>
      <c r="O12" s="38">
        <f t="shared" ca="1" si="1"/>
        <v>76.899357013741806</v>
      </c>
      <c r="P12" s="38">
        <f t="shared" ca="1" si="2"/>
        <v>127.77726030168583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5378236</v>
      </c>
      <c r="M14" s="38">
        <f t="shared" si="8"/>
        <v>0</v>
      </c>
      <c r="N14" s="38">
        <f t="shared" ca="1" si="8"/>
        <v>1947565.209999999</v>
      </c>
      <c r="O14" s="38">
        <f t="shared" ca="1" si="1"/>
        <v>36.211970058584249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1117000</v>
      </c>
      <c r="M16" s="38">
        <f t="shared" ca="1" si="10"/>
        <v>1117000</v>
      </c>
      <c r="N16" s="38">
        <f t="shared" ca="1" si="10"/>
        <v>937000</v>
      </c>
      <c r="O16" s="49">
        <f t="shared" ca="1" si="1"/>
        <v>83.885407341092218</v>
      </c>
      <c r="P16" s="49">
        <f t="shared" ca="1" si="2"/>
        <v>83.885407341092218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5665615</v>
      </c>
      <c r="M18" s="23">
        <f t="shared" ca="1" si="11"/>
        <v>5770140.3599999994</v>
      </c>
      <c r="N18" s="23">
        <f t="shared" ca="1" si="11"/>
        <v>4935090.0600000005</v>
      </c>
      <c r="O18" s="22">
        <f t="shared" ref="O18:O20" ca="1" si="12">IF(L18&gt;0,N18*100/L18,0)</f>
        <v>87.105990435283729</v>
      </c>
      <c r="P18" s="22">
        <f t="shared" ref="P18:P26" ca="1" si="13">IF(M18&gt;0,N18*100/M18,0)</f>
        <v>85.528076478195089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5665615</v>
      </c>
      <c r="M20" s="30">
        <f t="shared" ca="1" si="15"/>
        <v>5770140.3599999994</v>
      </c>
      <c r="N20" s="30">
        <f t="shared" ca="1" si="15"/>
        <v>4935090.0600000005</v>
      </c>
      <c r="O20" s="29">
        <f t="shared" ca="1" si="12"/>
        <v>87.105990435283729</v>
      </c>
      <c r="P20" s="29">
        <f t="shared" ca="1" si="13"/>
        <v>85.528076478195089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4548615</v>
      </c>
      <c r="M22" s="41">
        <f t="shared" ca="1" si="18"/>
        <v>4653140.3599999994</v>
      </c>
      <c r="N22" s="38">
        <f t="shared" ca="1" si="18"/>
        <v>3998090.06</v>
      </c>
      <c r="O22" s="38">
        <f t="shared" ca="1" si="17"/>
        <v>87.896866628633106</v>
      </c>
      <c r="P22" s="38">
        <f t="shared" ca="1" si="13"/>
        <v>85.922404025654629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2195115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1117000</v>
      </c>
      <c r="M26" s="49">
        <f t="shared" ca="1" si="22"/>
        <v>1117000</v>
      </c>
      <c r="N26" s="49">
        <f t="shared" ca="1" si="22"/>
        <v>937000</v>
      </c>
      <c r="O26" s="49">
        <f t="shared" ca="1" si="17"/>
        <v>83.885407341092218</v>
      </c>
      <c r="P26" s="49">
        <f t="shared" ca="1" si="13"/>
        <v>83.885407341092218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3183121</v>
      </c>
      <c r="M28" s="23">
        <f t="shared" si="23"/>
        <v>0</v>
      </c>
      <c r="N28" s="23">
        <f t="shared" ca="1" si="23"/>
        <v>1947565.209999999</v>
      </c>
      <c r="O28" s="22">
        <f t="shared" ref="O28:O30" ca="1" si="24">IF(L28&gt;0,N28*100/L28,0)</f>
        <v>61.184140031120371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3183121</v>
      </c>
      <c r="M30" s="30">
        <f t="shared" si="27"/>
        <v>0</v>
      </c>
      <c r="N30" s="30">
        <f t="shared" ca="1" si="27"/>
        <v>1947565.209999999</v>
      </c>
      <c r="O30" s="29">
        <f t="shared" ca="1" si="24"/>
        <v>61.184140031120371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3183121</v>
      </c>
      <c r="M32" s="38">
        <f t="shared" si="30"/>
        <v>0</v>
      </c>
      <c r="N32" s="38">
        <f t="shared" ca="1" si="30"/>
        <v>1947565.209999999</v>
      </c>
      <c r="O32" s="38">
        <f t="shared" ca="1" si="29"/>
        <v>61.184140031120371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3183121</v>
      </c>
      <c r="M34" s="38">
        <f t="shared" si="32"/>
        <v>0</v>
      </c>
      <c r="N34" s="38">
        <f t="shared" ca="1" si="32"/>
        <v>1947565.209999999</v>
      </c>
      <c r="O34" s="38">
        <f t="shared" ca="1" si="29"/>
        <v>61.184140031120371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5665615</v>
      </c>
      <c r="M37" s="54">
        <f t="shared" ca="1" si="33"/>
        <v>5770140.3599999994</v>
      </c>
      <c r="N37" s="54">
        <f t="shared" ca="1" si="33"/>
        <v>4935090.0600000005</v>
      </c>
      <c r="O37" s="55">
        <f t="shared" ca="1" si="29"/>
        <v>87.105990435283729</v>
      </c>
      <c r="P37" s="55">
        <f t="shared" ca="1" si="25"/>
        <v>85.528076478195089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1934100</v>
      </c>
      <c r="M41" s="78">
        <f t="shared" ca="1" si="34"/>
        <v>1934100</v>
      </c>
      <c r="N41" s="78">
        <f t="shared" ca="1" si="34"/>
        <v>1635078.27</v>
      </c>
      <c r="O41" s="77">
        <f t="shared" ref="O41:O43" ca="1" si="35">IF(L41&gt;0,N41*100/L41,0)</f>
        <v>84.539489685124863</v>
      </c>
      <c r="P41" s="77">
        <f t="shared" ref="P41:P43" ca="1" si="36">IF(M41&gt;0,N41*100/M41,0)</f>
        <v>84.539489685124863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1934100</v>
      </c>
      <c r="M43" s="78">
        <f t="shared" ca="1" si="38"/>
        <v>1934100</v>
      </c>
      <c r="N43" s="78">
        <f t="shared" ca="1" si="38"/>
        <v>1635078.27</v>
      </c>
      <c r="O43" s="77">
        <f t="shared" ca="1" si="35"/>
        <v>84.539489685124863</v>
      </c>
      <c r="P43" s="77">
        <f t="shared" ca="1" si="36"/>
        <v>84.539489685124863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3">
        <f ca="1">IFERROR(__xludf.DUMMYFUNCTION("IMPORTRANGE(""https://docs.google.com/spreadsheets/d/1Yj_ptqi66GCucihVvJfMjLAmec39IyEx_6qawtMGysU/edit?usp=sharing"",""สบก!Q50"")"),834100)</f>
        <v>834100</v>
      </c>
      <c r="N45" s="623">
        <f ca="1">IFERROR(__xludf.DUMMYFUNCTION("IMPORTRANGE(""https://docs.google.com/spreadsheets/d/1Yj_ptqi66GCucihVvJfMjLAmec39IyEx_6qawtMGysU/edit?usp=sharing"",""สบก!R50"")"),715078.27)</f>
        <v>715078.27</v>
      </c>
      <c r="O45" s="624">
        <f ca="1">IF(L45&gt;0,N45*100/L45,0)</f>
        <v>85.730520321304397</v>
      </c>
      <c r="P45" s="624">
        <f ca="1">IF(M45&gt;0,N45*100/M45,0)</f>
        <v>85.730520321304397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IFERROR(__xludf.DUMMYFUNCTION("IMPORTRANGE(""https://docs.google.com/spreadsheets/d/1Yj_ptqi66GCucihVvJfMjLAmec39IyEx_6qawtMGysU/edit?usp=sharing"",""สบก!M50"")"),834100)</f>
        <v>834100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IFERROR(__xludf.DUMMYFUNCTION("IMPORTRANGE(""https://docs.google.com/spreadsheets/d/1Yj_ptqi66GCucihVvJfMjLAmec39IyEx_6qawtMGysU/edit?usp=sharing"",""สบก!N50"")"),0)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IFERROR(__xludf.DUMMYFUNCTION("IMPORTRANGE(""https://docs.google.com/spreadsheets/d/1Yj_ptqi66GCucihVvJfMjLAmec39IyEx_6qawtMGysU/edit?usp=sharing"",""สบก!O50"")"),1100000)</f>
        <v>1100000</v>
      </c>
      <c r="M49" s="626">
        <f ca="1">L49</f>
        <v>1100000</v>
      </c>
      <c r="N49" s="623">
        <f ca="1">IFERROR(__xludf.DUMMYFUNCTION("IMPORTRANGE(""https://docs.google.com/spreadsheets/d/1Yj_ptqi66GCucihVvJfMjLAmec39IyEx_6qawtMGysU/edit?usp=sharing"",""สบก!S50"")"),920000)</f>
        <v>920000</v>
      </c>
      <c r="O49" s="626">
        <f ca="1">IF(L49&gt;0,N49*100/L49,0)</f>
        <v>83.63636363636364</v>
      </c>
      <c r="P49" s="626">
        <f ca="1">IF(M49&gt;0,N49*100/M49,0)</f>
        <v>83.63636363636364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731405.36</v>
      </c>
      <c r="N53" s="121">
        <f t="shared" ca="1" si="39"/>
        <v>699391.36</v>
      </c>
      <c r="O53" s="120">
        <f t="shared" ref="O53:O55" ca="1" si="40">IF(L53&gt;0,N53*100/L53,0)</f>
        <v>101.71485747527632</v>
      </c>
      <c r="P53" s="120">
        <f t="shared" ref="P53:P55" ca="1" si="41">IF(M53&gt;0,N53*100/M53,0)</f>
        <v>95.622947034459798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731405.36</v>
      </c>
      <c r="N55" s="121">
        <f t="shared" ca="1" si="43"/>
        <v>699391.36</v>
      </c>
      <c r="O55" s="120">
        <f t="shared" ca="1" si="40"/>
        <v>101.71485747527632</v>
      </c>
      <c r="P55" s="120">
        <f t="shared" ca="1" si="41"/>
        <v>95.622947034459798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623">
        <f ca="1">IFERROR(__xludf.DUMMYFUNCTION("IMPORTRANGE(""https://docs.google.com/spreadsheets/d/1Yj_ptqi66GCucihVvJfMjLAmec39IyEx_6qawtMGysU/edit?usp=sharing"",""สบก!Z50"")"),731405.36)</f>
        <v>731405.36</v>
      </c>
      <c r="N57" s="623">
        <f ca="1">IFERROR(__xludf.DUMMYFUNCTION("IMPORTRANGE(""https://docs.google.com/spreadsheets/d/1Yj_ptqi66GCucihVvJfMjLAmec39IyEx_6qawtMGysU/edit?usp=sharing"",""สบก!AA50"")"),699391.36)</f>
        <v>699391.36</v>
      </c>
      <c r="O57" s="624">
        <f ca="1">IF(L57&gt;0,N57*100/L57,0)</f>
        <v>101.71485747527632</v>
      </c>
      <c r="P57" s="624">
        <f ca="1">IF(M57&gt;0,N57*100/M57,0)</f>
        <v>95.622947034459798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IFERROR(__xludf.DUMMYFUNCTION("IMPORTRANGE(""https://docs.google.com/spreadsheets/d/1Yj_ptqi66GCucihVvJfMjLAmec39IyEx_6qawtMGysU/edit?usp=sharing"",""สบก!V50"")"),687600)</f>
        <v>687600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IFERROR(__xludf.DUMMYFUNCTION("IMPORTRANGE(""https://docs.google.com/spreadsheets/d/1Yj_ptqi66GCucihVvJfMjLAmec39IyEx_6qawtMGysU/edit?usp=sharing"",""สบก!W50"")"),0)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IFERROR(__xludf.DUMMYFUNCTION("IMPORTRANGE(""https://docs.google.com/spreadsheets/d/1Yj_ptqi66GCucihVvJfMjLAmec39IyEx_6qawtMGysU/edit?usp=sharing"",""สบก!X50"")"),0)</f>
        <v>0</v>
      </c>
      <c r="M61" s="626"/>
      <c r="N61" s="623">
        <f ca="1">IFERROR(__xludf.DUMMYFUNCTION("IMPORTRANGE(""https://docs.google.com/spreadsheets/d/1Yj_ptqi66GCucihVvJfMjLAmec39IyEx_6qawtMGysU/edit?usp=sharing"",""สบก!AB50"")"),0)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944820</v>
      </c>
      <c r="N66" s="152">
        <f t="shared" ca="1" si="45"/>
        <v>882769.53</v>
      </c>
      <c r="O66" s="151">
        <f t="shared" ref="O66:O68" ca="1" si="46">IF(L66&gt;0,N66*100/L66,0)</f>
        <v>95.269752859917986</v>
      </c>
      <c r="P66" s="151">
        <f t="shared" ref="P66:P68" ca="1" si="47">IF(M66&gt;0,N66*100/M66,0)</f>
        <v>93.432561757795142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944820</v>
      </c>
      <c r="N68" s="157">
        <f t="shared" ca="1" si="49"/>
        <v>882769.53</v>
      </c>
      <c r="O68" s="156">
        <f t="shared" ca="1" si="46"/>
        <v>95.269752859917986</v>
      </c>
      <c r="P68" s="156">
        <f t="shared" ca="1" si="47"/>
        <v>93.432561757795142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926600</v>
      </c>
      <c r="M70" s="627">
        <f ca="1">IFERROR(__xludf.DUMMYFUNCTION("IMPORTRANGE(""https://docs.google.com/spreadsheets/d/1Yj_ptqi66GCucihVvJfMjLAmec39IyEx_6qawtMGysU/edit?usp=sharing"",""สบก!AI50"")"),944820)</f>
        <v>944820</v>
      </c>
      <c r="N70" s="628">
        <f ca="1">IFERROR(__xludf.DUMMYFUNCTION("IMPORTRANGE(""https://docs.google.com/spreadsheets/d/1Yj_ptqi66GCucihVvJfMjLAmec39IyEx_6qawtMGysU/edit?usp=sharing"",""สบก!AJ50"")"),882769.53)</f>
        <v>882769.53</v>
      </c>
      <c r="O70" s="169">
        <f ca="1">IF(L70&gt;0,N70*100/L70,0)</f>
        <v>95.269752859917986</v>
      </c>
      <c r="P70" s="169">
        <f ca="1">IF(M70&gt;0,N70*100/M70,0)</f>
        <v>93.432561757795142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IFERROR(__xludf.DUMMYFUNCTION("IMPORTRANGE(""https://docs.google.com/spreadsheets/d/1Yj_ptqi66GCucihVvJfMjLAmec39IyEx_6qawtMGysU/edit?usp=sharing"",""สบก!AF50"")"),595200)</f>
        <v>595200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IFERROR(__xludf.DUMMYFUNCTION("IMPORTRANGE(""https://docs.google.com/spreadsheets/d/1Yj_ptqi66GCucihVvJfMjLAmec39IyEx_6qawtMGysU/edit?usp=sharing"",""สบก!AG50"")"),0)</f>
        <v>0</v>
      </c>
      <c r="M74" s="626"/>
      <c r="N74" s="623">
        <f ca="1">IFERROR(__xludf.DUMMYFUNCTION("IMPORTRANGE(""https://docs.google.com/spreadsheets/d/1Yj_ptqi66GCucihVvJfMjLAmec39IyEx_6qawtMGysU/edit?usp=sharing"",""สบก!AK50"")"),0)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IFERROR(__xludf.DUMMYFUNCTION("IMPORTRANGE(""https://docs.google.com/spreadsheets/d/1XL5vhW3sbDhbH9Cz0tuDiY8C3ctxq1tqvaCgkFb8cCA/edit?usp=sharing"",""ศรีสะเกษ!I28"")"),1)</f>
        <v>1</v>
      </c>
      <c r="J88" s="204">
        <f ca="1">IFERROR(__xludf.DUMMYFUNCTION("IMPORTRANGE(""https://docs.google.com/spreadsheets/d/1XL5vhW3sbDhbH9Cz0tuDiY8C3ctxq1tqvaCgkFb8cCA/edit?usp=sharing"",""ศรีสะเกษ!J28"")"),1)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IFERROR(__xludf.DUMMYFUNCTION("IMPORTRANGE(""https://docs.google.com/spreadsheets/d/1Yj_ptqi66GCucihVvJfMjLAmec39IyEx_6qawtMGysU/edit?usp=sharing"",""สบก!AR50"")"),0)</f>
        <v>0</v>
      </c>
      <c r="N98" s="628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IFERROR(__xludf.DUMMYFUNCTION("IMPORTRANGE(""https://docs.google.com/spreadsheets/d/1Yj_ptqi66GCucihVvJfMjLAmec39IyEx_6qawtMGysU/edit?usp=sharing"",""สบก!AP50"")"),0)</f>
        <v>0</v>
      </c>
      <c r="M102" s="626"/>
      <c r="N102" s="623">
        <f ca="1">IFERROR(__xludf.DUMMYFUNCTION("IMPORTRANGE(""https://docs.google.com/spreadsheets/d/1Yj_ptqi66GCucihVvJfMjLAmec39IyEx_6qawtMGysU/edit?usp=sharing"",""สบก!AT50"")"),0)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IFERROR(__xludf.DUMMYFUNCTION("IMPORTRANGE(""https://docs.google.com/spreadsheets/d/1Yj_ptqi66GCucihVvJfMjLAmec39IyEx_6qawtMGysU/edit?usp=sharing"",""สบก!BA50"")"),0)</f>
        <v>0</v>
      </c>
      <c r="N122" s="628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IFERROR(__xludf.DUMMYFUNCTION("IMPORTRANGE(""https://docs.google.com/spreadsheets/d/1Yj_ptqi66GCucihVvJfMjLAmec39IyEx_6qawtMGysU/edit?usp=sharing"",""สบก!AY50"")"),0)</f>
        <v>0</v>
      </c>
      <c r="M126" s="626"/>
      <c r="N126" s="623">
        <f ca="1">IFERROR(__xludf.DUMMYFUNCTION("IMPORTRANGE(""https://docs.google.com/spreadsheets/d/1Yj_ptqi66GCucihVvJfMjLAmec39IyEx_6qawtMGysU/edit?usp=sharing"",""สบก!BC50"")"),0)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88720</v>
      </c>
      <c r="M140" s="152">
        <f t="shared" ca="1" si="64"/>
        <v>88720</v>
      </c>
      <c r="N140" s="152">
        <f t="shared" ca="1" si="64"/>
        <v>88720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88720</v>
      </c>
      <c r="M142" s="157">
        <f t="shared" ca="1" si="68"/>
        <v>88720</v>
      </c>
      <c r="N142" s="157">
        <f t="shared" ca="1" si="68"/>
        <v>88720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88720</v>
      </c>
      <c r="M144" s="627">
        <f ca="1">IFERROR(__xludf.DUMMYFUNCTION("IMPORTRANGE(""https://docs.google.com/spreadsheets/d/1Yj_ptqi66GCucihVvJfMjLAmec39IyEx_6qawtMGysU/edit?usp=sharing"",""สบก!BJ50"")"),88720)</f>
        <v>88720</v>
      </c>
      <c r="N144" s="628">
        <f ca="1">IFERROR(__xludf.DUMMYFUNCTION("IMPORTRANGE(""https://docs.google.com/spreadsheets/d/1Yj_ptqi66GCucihVvJfMjLAmec39IyEx_6qawtMGysU/edit?usp=sharing"",""สบก!BK50"")"),88720)</f>
        <v>88720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IFERROR(__xludf.DUMMYFUNCTION("IMPORTRANGE(""https://docs.google.com/spreadsheets/d/1Yj_ptqi66GCucihVvJfMjLAmec39IyEx_6qawtMGysU/edit?usp=sharing"",""สบก!BG50"")"),88720)</f>
        <v>88720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IFERROR(__xludf.DUMMYFUNCTION("IMPORTRANGE(""https://docs.google.com/spreadsheets/d/1Yj_ptqi66GCucihVvJfMjLAmec39IyEx_6qawtMGysU/edit?usp=sharing"",""สบก!BH50"")"),0)</f>
        <v>0</v>
      </c>
      <c r="M148" s="626"/>
      <c r="N148" s="623">
        <f ca="1">IFERROR(__xludf.DUMMYFUNCTION("IMPORTRANGE(""https://docs.google.com/spreadsheets/d/1Yj_ptqi66GCucihVvJfMjLAmec39IyEx_6qawtMGysU/edit?usp=sharing"",""สบก!BL50"")"),0)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IFERROR(__xludf.DUMMYFUNCTION("IMPORTRANGE(""https://docs.google.com/spreadsheets/d/1XL5vhW3sbDhbH9Cz0tuDiY8C3ctxq1tqvaCgkFb8cCA/edit?usp=sharing"",""ศรีสะเกษ!J84"")"),71)</f>
        <v>71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IFERROR(__xludf.DUMMYFUNCTION("IMPORTRANGE(""https://docs.google.com/spreadsheets/d/1XL5vhW3sbDhbH9Cz0tuDiY8C3ctxq1tqvaCgkFb8cCA/edit?usp=sharing"",""ศรีสะเกษ!J85"")"),71)</f>
        <v>71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IFERROR(__xludf.DUMMYFUNCTION("IMPORTRANGE(""https://docs.google.com/spreadsheets/d/1XL5vhW3sbDhbH9Cz0tuDiY8C3ctxq1tqvaCgkFb8cCA/edit?usp=sharing"",""ศรีสะเกษ!J88"")"),0)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IFERROR(__xludf.DUMMYFUNCTION("IMPORTRANGE(""https://docs.google.com/spreadsheets/d/1XL5vhW3sbDhbH9Cz0tuDiY8C3ctxq1tqvaCgkFb8cCA/edit?usp=sharing"",""ศรีสะเกษ!I89"")"),4)</f>
        <v>4</v>
      </c>
      <c r="J164" s="285">
        <f ca="1">IFERROR(__xludf.DUMMYFUNCTION("IMPORTRANGE(""https://docs.google.com/spreadsheets/d/1XL5vhW3sbDhbH9Cz0tuDiY8C3ctxq1tqvaCgkFb8cCA/edit?usp=sharing"",""ศรีสะเกษ!J89"")"),4)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IFERROR(__xludf.DUMMYFUNCTION("IMPORTRANGE(""https://docs.google.com/spreadsheets/d/1XL5vhW3sbDhbH9Cz0tuDiY8C3ctxq1tqvaCgkFb8cCA/edit?usp=sharing"",""ศรีสะเกษ!I101"")"),1)</f>
        <v>1</v>
      </c>
      <c r="J176" s="285">
        <f ca="1">IFERROR(__xludf.DUMMYFUNCTION("IMPORTRANGE(""https://docs.google.com/spreadsheets/d/1XL5vhW3sbDhbH9Cz0tuDiY8C3ctxq1tqvaCgkFb8cCA/edit?usp=sharing"",""ศรีสะเกษ!J101"")"),1)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IFERROR(__xludf.DUMMYFUNCTION("IMPORTRANGE(""https://docs.google.com/spreadsheets/d/1XL5vhW3sbDhbH9Cz0tuDiY8C3ctxq1tqvaCgkFb8cCA/edit?usp=sharing"",""ศรีสะเกษ!J113"")"),1)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IFERROR(__xludf.DUMMYFUNCTION("IMPORTRANGE(""https://docs.google.com/spreadsheets/d/1XL5vhW3sbDhbH9Cz0tuDiY8C3ctxq1tqvaCgkFb8cCA/edit?usp=sharing"",""ศรีสะเกษ!I114"")"),10000)</f>
        <v>10000</v>
      </c>
      <c r="J189" s="285">
        <f ca="1">IFERROR(__xludf.DUMMYFUNCTION("IMPORTRANGE(""https://docs.google.com/spreadsheets/d/1XL5vhW3sbDhbH9Cz0tuDiY8C3ctxq1tqvaCgkFb8cCA/edit?usp=sharing"",""ศรีสะเกษ!J114"")"),10000)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IFERROR(__xludf.DUMMYFUNCTION("IMPORTRANGE(""https://docs.google.com/spreadsheets/d/1XL5vhW3sbDhbH9Cz0tuDiY8C3ctxq1tqvaCgkFb8cCA/edit?usp=sharing"",""ศรีสะเกษ!J128"")"),1)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IFERROR(__xludf.DUMMYFUNCTION("IMPORTRANGE(""https://docs.google.com/spreadsheets/d/1XL5vhW3sbDhbH9Cz0tuDiY8C3ctxq1tqvaCgkFb8cCA/edit?usp=sharing"",""ศรีสะเกษ!I129"")"),0)</f>
        <v>0</v>
      </c>
      <c r="J204" s="285">
        <f ca="1">IFERROR(__xludf.DUMMYFUNCTION("IMPORTRANGE(""https://docs.google.com/spreadsheets/d/1XL5vhW3sbDhbH9Cz0tuDiY8C3ctxq1tqvaCgkFb8cCA/edit?usp=sharing"",""ศรีสะเกษ!J129"")"),0)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IFERROR(__xludf.DUMMYFUNCTION("IMPORTRANGE(""https://docs.google.com/spreadsheets/d/1Yj_ptqi66GCucihVvJfMjLAmec39IyEx_6qawtMGysU/edit?usp=sharing"",""สบก!BS50"")"),21125)</f>
        <v>21125</v>
      </c>
      <c r="N224" s="628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IFERROR(__xludf.DUMMYFUNCTION("IMPORTRANGE(""https://docs.google.com/spreadsheets/d/1Yj_ptqi66GCucihVvJfMjLAmec39IyEx_6qawtMGysU/edit?usp=sharing"",""สบก!BQ50"")"),0)</f>
        <v>0</v>
      </c>
      <c r="M228" s="626"/>
      <c r="N228" s="623">
        <f ca="1">IFERROR(__xludf.DUMMYFUNCTION("IMPORTRANGE(""https://docs.google.com/spreadsheets/d/1Yj_ptqi66GCucihVvJfMjLAmec39IyEx_6qawtMGysU/edit?usp=sharing"",""สบก!BU50"")"),0)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IFERROR(__xludf.DUMMYFUNCTION("IMPORTRANGE(""https://docs.google.com/spreadsheets/d/1XL5vhW3sbDhbH9Cz0tuDiY8C3ctxq1tqvaCgkFb8cCA/edit?usp=sharing"",""ศรีสะเกษ!I169"")"),25)</f>
        <v>25</v>
      </c>
      <c r="J249" s="317">
        <f ca="1">IFERROR(__xludf.DUMMYFUNCTION("IMPORTRANGE(""https://docs.google.com/spreadsheets/d/1XL5vhW3sbDhbH9Cz0tuDiY8C3ctxq1tqvaCgkFb8cCA/edit?usp=sharing"",""ศรีสะเกษ!J169"")"),25)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75605</v>
      </c>
      <c r="O250" s="151">
        <f t="shared" ref="O250:O252" ca="1" si="78">IF(L250&gt;0,N250*100/L250,0)</f>
        <v>84.949438202247194</v>
      </c>
      <c r="P250" s="151">
        <f t="shared" ref="P250:P252" ca="1" si="79">IF(M250&gt;0,N250*100/M250,0)</f>
        <v>84.949438202247194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75605</v>
      </c>
      <c r="O252" s="156">
        <f t="shared" ca="1" si="78"/>
        <v>84.949438202247194</v>
      </c>
      <c r="P252" s="156">
        <f t="shared" ca="1" si="79"/>
        <v>84.949438202247194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IFERROR(__xludf.DUMMYFUNCTION("IMPORTRANGE(""https://docs.google.com/spreadsheets/d/1Yj_ptqi66GCucihVvJfMjLAmec39IyEx_6qawtMGysU/edit?usp=sharing"",""สบก!CB50"")"),89000)</f>
        <v>89000</v>
      </c>
      <c r="N254" s="628">
        <f ca="1">IFERROR(__xludf.DUMMYFUNCTION("IMPORTRANGE(""https://docs.google.com/spreadsheets/d/1Yj_ptqi66GCucihVvJfMjLAmec39IyEx_6qawtMGysU/edit?usp=sharing"",""สบก!CC50"")"),75605)</f>
        <v>75605</v>
      </c>
      <c r="O254" s="169">
        <f ca="1">IF(L254&gt;0,N254*100/L254,0)</f>
        <v>84.949438202247194</v>
      </c>
      <c r="P254" s="169">
        <f ca="1">IF(M254&gt;0,N254*100/M254,0)</f>
        <v>84.949438202247194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IFERROR(__xludf.DUMMYFUNCTION("IMPORTRANGE(""https://docs.google.com/spreadsheets/d/1Yj_ptqi66GCucihVvJfMjLAmec39IyEx_6qawtMGysU/edit?usp=sharing"",""สบก!BZ50"")"),0)</f>
        <v>0</v>
      </c>
      <c r="M258" s="626"/>
      <c r="N258" s="623">
        <f ca="1">IFERROR(__xludf.DUMMYFUNCTION("IMPORTRANGE(""https://docs.google.com/spreadsheets/d/1Yj_ptqi66GCucihVvJfMjLAmec39IyEx_6qawtMGysU/edit?usp=sharing"",""สบก!CD50"")"),0)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IFERROR(__xludf.DUMMYFUNCTION("IMPORTRANGE(""https://docs.google.com/spreadsheets/d/1XL5vhW3sbDhbH9Cz0tuDiY8C3ctxq1tqvaCgkFb8cCA/edit?usp=sharing"",""ศรีสะเกษ!J184"")"),0)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IFERROR(__xludf.DUMMYFUNCTION("IMPORTRANGE(""https://docs.google.com/spreadsheets/d/1XL5vhW3sbDhbH9Cz0tuDiY8C3ctxq1tqvaCgkFb8cCA/edit?usp=sharing"",""ศรีสะเกษ!I185"")"),20)</f>
        <v>20</v>
      </c>
      <c r="J270" s="317">
        <f ca="1">IFERROR(__xludf.DUMMYFUNCTION("IMPORTRANGE(""https://docs.google.com/spreadsheets/d/1XL5vhW3sbDhbH9Cz0tuDiY8C3ctxq1tqvaCgkFb8cCA/edit?usp=sharing"",""ศรีสะเกษ!J185"")"),20)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165661.67000000001</v>
      </c>
      <c r="O271" s="151">
        <f t="shared" ref="O271:O273" ca="1" si="84">IF(L271&gt;0,N271*100/L271,0)</f>
        <v>90.229667755991301</v>
      </c>
      <c r="P271" s="151">
        <f t="shared" ref="P271:P273" ca="1" si="85">IF(M271&gt;0,N271*100/M271,0)</f>
        <v>90.229667755991301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165661.67000000001</v>
      </c>
      <c r="O273" s="156">
        <f t="shared" ca="1" si="84"/>
        <v>90.229667755991301</v>
      </c>
      <c r="P273" s="156">
        <f t="shared" ca="1" si="85"/>
        <v>90.229667755991301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IFERROR(__xludf.DUMMYFUNCTION("IMPORTRANGE(""https://docs.google.com/spreadsheets/d/1Yj_ptqi66GCucihVvJfMjLAmec39IyEx_6qawtMGysU/edit?usp=sharing"",""สบก!CK50"")"),183600)</f>
        <v>183600</v>
      </c>
      <c r="N275" s="628">
        <f ca="1">IFERROR(__xludf.DUMMYFUNCTION("IMPORTRANGE(""https://docs.google.com/spreadsheets/d/1Yj_ptqi66GCucihVvJfMjLAmec39IyEx_6qawtMGysU/edit?usp=sharing"",""สบก!CL50"")"),165661.67)</f>
        <v>165661.67000000001</v>
      </c>
      <c r="O275" s="169">
        <f ca="1">IF(L275&gt;0,N275*100/L275,0)</f>
        <v>90.229667755991301</v>
      </c>
      <c r="P275" s="169">
        <f ca="1">IF(M275&gt;0,N275*100/M275,0)</f>
        <v>90.229667755991301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IFERROR(__xludf.DUMMYFUNCTION("IMPORTRANGE(""https://docs.google.com/spreadsheets/d/1Yj_ptqi66GCucihVvJfMjLAmec39IyEx_6qawtMGysU/edit?usp=sharing"",""สบก!CI50"")"),0)</f>
        <v>0</v>
      </c>
      <c r="M279" s="626"/>
      <c r="N279" s="623">
        <f ca="1">IFERROR(__xludf.DUMMYFUNCTION("IMPORTRANGE(""https://docs.google.com/spreadsheets/d/1Yj_ptqi66GCucihVvJfMjLAmec39IyEx_6qawtMGysU/edit?usp=sharing"",""สบก!CM50"")"),0)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IFERROR(__xludf.DUMMYFUNCTION("IMPORTRANGE(""https://docs.google.com/spreadsheets/d/1XL5vhW3sbDhbH9Cz0tuDiY8C3ctxq1tqvaCgkFb8cCA/edit?usp=sharing"",""ศรีสะเกษ!J197"")"),0)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IFERROR(__xludf.DUMMYFUNCTION("IMPORTRANGE(""https://docs.google.com/spreadsheets/d/1XL5vhW3sbDhbH9Cz0tuDiY8C3ctxq1tqvaCgkFb8cCA/edit?usp=sharing"",""ศรีสะเกษ!I199"")"),0)</f>
        <v>0</v>
      </c>
      <c r="J289" s="317">
        <f ca="1">IFERROR(__xludf.DUMMYFUNCTION("IMPORTRANGE(""https://docs.google.com/spreadsheets/d/1XL5vhW3sbDhbH9Cz0tuDiY8C3ctxq1tqvaCgkFb8cCA/edit?usp=sharing"",""ศรีสะเกษ!J199"")"),0)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IFERROR(__xludf.DUMMYFUNCTION("IMPORTRANGE(""https://docs.google.com/spreadsheets/d/1Yj_ptqi66GCucihVvJfMjLAmec39IyEx_6qawtMGysU/edit?usp=sharing"",""สบก!CT50"")"),0)</f>
        <v>0</v>
      </c>
      <c r="N294" s="628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IFERROR(__xludf.DUMMYFUNCTION("IMPORTRANGE(""https://docs.google.com/spreadsheets/d/1Yj_ptqi66GCucihVvJfMjLAmec39IyEx_6qawtMGysU/edit?usp=sharing"",""สบก!CR50"")"),0)</f>
        <v>0</v>
      </c>
      <c r="M298" s="626"/>
      <c r="N298" s="623">
        <f ca="1">IFERROR(__xludf.DUMMYFUNCTION("IMPORTRANGE(""https://docs.google.com/spreadsheets/d/1Yj_ptqi66GCucihVvJfMjLAmec39IyEx_6qawtMGysU/edit?usp=sharing"",""สบก!CV50"")"),0)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IFERROR(__xludf.DUMMYFUNCTION("IMPORTRANGE(""https://docs.google.com/spreadsheets/d/1XL5vhW3sbDhbH9Cz0tuDiY8C3ctxq1tqvaCgkFb8cCA/edit?usp=sharing"",""ศรีสะเกษ!I214"")"),0)</f>
        <v>0</v>
      </c>
      <c r="J309" s="334">
        <f ca="1">IFERROR(__xludf.DUMMYFUNCTION("IMPORTRANGE(""https://docs.google.com/spreadsheets/d/1XL5vhW3sbDhbH9Cz0tuDiY8C3ctxq1tqvaCgkFb8cCA/edit?usp=sharing"",""ศรีสะเกษ!J214"")"),0)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IFERROR(__xludf.DUMMYFUNCTION("IMPORTRANGE(""https://docs.google.com/spreadsheets/d/1Yj_ptqi66GCucihVvJfMjLAmec39IyEx_6qawtMGysU/edit?usp=sharing"",""สบก!DC50"")"),0)</f>
        <v>0</v>
      </c>
      <c r="N314" s="628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IFERROR(__xludf.DUMMYFUNCTION("IMPORTRANGE(""https://docs.google.com/spreadsheets/d/1Yj_ptqi66GCucihVvJfMjLAmec39IyEx_6qawtMGysU/edit?usp=sharing"",""สบก!DA50"")"),0)</f>
        <v>0</v>
      </c>
      <c r="M318" s="626"/>
      <c r="N318" s="623">
        <f ca="1">IFERROR(__xludf.DUMMYFUNCTION("IMPORTRANGE(""https://docs.google.com/spreadsheets/d/1Yj_ptqi66GCucihVvJfMjLAmec39IyEx_6qawtMGysU/edit?usp=sharing"",""สบก!DE50"")"),0)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IFERROR(__xludf.DUMMYFUNCTION("IMPORTRANGE(""https://docs.google.com/spreadsheets/d/1XL5vhW3sbDhbH9Cz0tuDiY8C3ctxq1tqvaCgkFb8cCA/edit?usp=sharing"",""ศรีสะเกษ!I228"")"),1380)</f>
        <v>1380</v>
      </c>
      <c r="J328" s="340">
        <f ca="1">IFERROR(__xludf.DUMMYFUNCTION("IMPORTRANGE(""https://docs.google.com/spreadsheets/d/1XL5vhW3sbDhbH9Cz0tuDiY8C3ctxq1tqvaCgkFb8cCA/edit?usp=sharing"",""ศรีสะเกษ!J228"")"),1589)</f>
        <v>1589</v>
      </c>
      <c r="K328" s="318">
        <f ca="1">IF(I328&gt;0,J328*100/I328,0)</f>
        <v>115.14492753623189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1734870</v>
      </c>
      <c r="M329" s="152">
        <f t="shared" ca="1" si="98"/>
        <v>1777370</v>
      </c>
      <c r="N329" s="152">
        <f t="shared" ca="1" si="98"/>
        <v>1366739.23</v>
      </c>
      <c r="O329" s="151">
        <f t="shared" ref="O329:O331" ca="1" si="99">IF(L329&gt;0,N329*100/L329,0)</f>
        <v>78.780498250589375</v>
      </c>
      <c r="P329" s="151">
        <f t="shared" ref="P329:P331" ca="1" si="100">IF(M329&gt;0,N329*100/M329,0)</f>
        <v>76.896719872620778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1734870</v>
      </c>
      <c r="M331" s="157">
        <f t="shared" ca="1" si="102"/>
        <v>1777370</v>
      </c>
      <c r="N331" s="157">
        <f t="shared" ca="1" si="102"/>
        <v>1366739.23</v>
      </c>
      <c r="O331" s="156">
        <f t="shared" ca="1" si="99"/>
        <v>78.780498250589375</v>
      </c>
      <c r="P331" s="156">
        <f t="shared" ca="1" si="100"/>
        <v>76.896719872620778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1717870</v>
      </c>
      <c r="M333" s="627">
        <f ca="1">IFERROR(__xludf.DUMMYFUNCTION("IMPORTRANGE(""https://docs.google.com/spreadsheets/d/1Yj_ptqi66GCucihVvJfMjLAmec39IyEx_6qawtMGysU/edit?usp=sharing"",""สบก!DL50"")"),1760370)</f>
        <v>1760370</v>
      </c>
      <c r="N333" s="628">
        <f ca="1">IFERROR(__xludf.DUMMYFUNCTION("IMPORTRANGE(""https://docs.google.com/spreadsheets/d/1Yj_ptqi66GCucihVvJfMjLAmec39IyEx_6qawtMGysU/edit?usp=sharing"",""สบก!DM50"")"),1349739.23)</f>
        <v>1349739.23</v>
      </c>
      <c r="O333" s="169">
        <f ca="1">IF(L333&gt;0,N333*100/L333,0)</f>
        <v>78.570510574141238</v>
      </c>
      <c r="P333" s="169">
        <f ca="1">IF(M333&gt;0,N333*100/M333,0)</f>
        <v>76.673610093332655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IFERROR(__xludf.DUMMYFUNCTION("IMPORTRANGE(""https://docs.google.com/spreadsheets/d/1Yj_ptqi66GCucihVvJfMjLAmec39IyEx_6qawtMGysU/edit?usp=sharing"",""สบก!DI50"")"),1217470)</f>
        <v>1217470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IFERROR(__xludf.DUMMYFUNCTION("IMPORTRANGE(""https://docs.google.com/spreadsheets/d/1Yj_ptqi66GCucihVvJfMjLAmec39IyEx_6qawtMGysU/edit?usp=sharing"",""สบก!DJ50"")"),17000)</f>
        <v>17000</v>
      </c>
      <c r="M337" s="626">
        <f ca="1">L337</f>
        <v>17000</v>
      </c>
      <c r="N337" s="623">
        <f ca="1">IFERROR(__xludf.DUMMYFUNCTION("IMPORTRANGE(""https://docs.google.com/spreadsheets/d/1Yj_ptqi66GCucihVvJfMjLAmec39IyEx_6qawtMGysU/edit?usp=sharing"",""สบก!DN50"")"),17000)</f>
        <v>17000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IFERROR(__xludf.DUMMYFUNCTION("IMPORTRANGE(""https://docs.google.com/spreadsheets/d/1XL5vhW3sbDhbH9Cz0tuDiY8C3ctxq1tqvaCgkFb8cCA/edit?usp=sharing"",""ศรีสะเกษ!J234"")"),1256)</f>
        <v>1256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IFERROR(__xludf.DUMMYFUNCTION("IMPORTRANGE(""https://docs.google.com/spreadsheets/d/1XL5vhW3sbDhbH9Cz0tuDiY8C3ctxq1tqvaCgkFb8cCA/edit?usp=sharing"",""ศรีสะเกษ!J235"")"),7709.83)</f>
        <v>7709.83</v>
      </c>
      <c r="K340" s="343">
        <f t="shared" ca="1" si="103"/>
        <v>99.353479381443293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IFERROR(__xludf.DUMMYFUNCTION("IMPORTRANGE(""https://docs.google.com/spreadsheets/d/1XL5vhW3sbDhbH9Cz0tuDiY8C3ctxq1tqvaCgkFb8cCA/edit?usp=sharing"",""ศรีสะเกษ!J236"")"),1691)</f>
        <v>1691</v>
      </c>
      <c r="K341" s="343">
        <f t="shared" ca="1" si="103"/>
        <v>122.53623188405797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IFERROR(__xludf.DUMMYFUNCTION("IMPORTRANGE(""https://docs.google.com/spreadsheets/d/1XL5vhW3sbDhbH9Cz0tuDiY8C3ctxq1tqvaCgkFb8cCA/edit?usp=sharing"",""ศรีสะเกษ!J237"")"),12167.8499999999)</f>
        <v>12167.8499999999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IFERROR(__xludf.DUMMYFUNCTION("IMPORTRANGE(""https://docs.google.com/spreadsheets/d/1XL5vhW3sbDhbH9Cz0tuDiY8C3ctxq1tqvaCgkFb8cCA/edit?usp=sharing"",""ศรีสะเกษ!J240"")"),1589)</f>
        <v>1589</v>
      </c>
      <c r="K345" s="343">
        <f t="shared" ca="1" si="103"/>
        <v>115.14492753623189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IFERROR(__xludf.DUMMYFUNCTION("IMPORTRANGE(""https://docs.google.com/spreadsheets/d/1XL5vhW3sbDhbH9Cz0tuDiY8C3ctxq1tqvaCgkFb8cCA/edit?usp=sharing"",""ศรีสะเกษ!J241"")"),11466.73)</f>
        <v>11466.73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IFERROR(__xludf.DUMMYFUNCTION("IMPORTRANGE(""https://docs.google.com/spreadsheets/d/1XL5vhW3sbDhbH9Cz0tuDiY8C3ctxq1tqvaCgkFb8cCA/edit?usp=sharing"",""ศรีสะเกษ!L242"")"),3183121)</f>
        <v>3183121</v>
      </c>
      <c r="M347" s="358"/>
      <c r="N347" s="358">
        <f ca="1">IFERROR(__xludf.DUMMYFUNCTION("IMPORTRANGE(""https://docs.google.com/spreadsheets/d/1XL5vhW3sbDhbH9Cz0tuDiY8C3ctxq1tqvaCgkFb8cCA/edit?usp=sharing"",""ศรีสะเกษ!M242"")"),1947565.21)</f>
        <v>1947565.21</v>
      </c>
      <c r="O347" s="358">
        <f ca="1">+IF(L347&gt;0,N347*100/L347,0)</f>
        <v>61.1841400311204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IFERROR(__xludf.DUMMYFUNCTION("IMPORTRANGE(""https://docs.google.com/spreadsheets/d/1XL5vhW3sbDhbH9Cz0tuDiY8C3ctxq1tqvaCgkFb8cCA/edit?usp=sharing"",""ศรีสะเกษ!M244"")"),315151.64)</f>
        <v>315151.64</v>
      </c>
      <c r="O349" s="373">
        <f ca="1">+IF(L349&gt;0,N349*100/L349,0)</f>
        <v>84.454829027762884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IFERROR(__xludf.DUMMYFUNCTION("IMPORTRANGE(""https://docs.google.com/spreadsheets/d/1XL5vhW3sbDhbH9Cz0tuDiY8C3ctxq1tqvaCgkFb8cCA/edit?usp=sharing"",""ศรีสะเกษ!L247"")"),373160)</f>
        <v>373160</v>
      </c>
      <c r="M352" s="165"/>
      <c r="N352" s="164">
        <f ca="1">IFERROR(__xludf.DUMMYFUNCTION("IMPORTRANGE(""https://docs.google.com/spreadsheets/d/1XL5vhW3sbDhbH9Cz0tuDiY8C3ctxq1tqvaCgkFb8cCA/edit?usp=sharing"",""ศรีสะเกษ!M247"")"),315151.64)</f>
        <v>315151.64</v>
      </c>
      <c r="O352" s="165">
        <f t="shared" ca="1" si="105"/>
        <v>84.454829027762884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IFERROR(__xludf.DUMMYFUNCTION("IMPORTRANGE(""https://docs.google.com/spreadsheets/d/1XL5vhW3sbDhbH9Cz0tuDiY8C3ctxq1tqvaCgkFb8cCA/edit?usp=sharing"",""ศรีสะเกษ!L249"")"),373160)</f>
        <v>373160</v>
      </c>
      <c r="M354" s="169"/>
      <c r="N354" s="168">
        <f ca="1">IFERROR(__xludf.DUMMYFUNCTION("IMPORTRANGE(""https://docs.google.com/spreadsheets/d/1XL5vhW3sbDhbH9Cz0tuDiY8C3ctxq1tqvaCgkFb8cCA/edit?usp=sharing"",""ศรีสะเกษ!M249"")"),315151.64)</f>
        <v>315151.64</v>
      </c>
      <c r="O354" s="169">
        <f t="shared" ca="1" si="105"/>
        <v>84.454829027762884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IFERROR(__xludf.DUMMYFUNCTION("IMPORTRANGE(""https://docs.google.com/spreadsheets/d/1XL5vhW3sbDhbH9Cz0tuDiY8C3ctxq1tqvaCgkFb8cCA/edit?usp=sharing"",""ศรีสะเกษ!M252"")"),106451.64)</f>
        <v>106451.64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IFERROR(__xludf.DUMMYFUNCTION("IMPORTRANGE(""https://docs.google.com/spreadsheets/d/1XL5vhW3sbDhbH9Cz0tuDiY8C3ctxq1tqvaCgkFb8cCA/edit?usp=sharing"",""ศรีสะเกษ!M253"")"),13300)</f>
        <v>13300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IFERROR(__xludf.DUMMYFUNCTION("IMPORTRANGE(""https://docs.google.com/spreadsheets/d/1XL5vhW3sbDhbH9Cz0tuDiY8C3ctxq1tqvaCgkFb8cCA/edit?usp=sharing"",""ศรีสะเกษ!M275"")"),575986.53)</f>
        <v>575986.53</v>
      </c>
      <c r="O380" s="373">
        <f ca="1">+IF(L380&gt;0,N380*100/L380,0)</f>
        <v>56.001490491191227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IFERROR(__xludf.DUMMYFUNCTION("IMPORTRANGE(""https://docs.google.com/spreadsheets/d/1XL5vhW3sbDhbH9Cz0tuDiY8C3ctxq1tqvaCgkFb8cCA/edit?usp=sharing"",""ศรีสะเกษ!M278"")"),575986.53)</f>
        <v>575986.53</v>
      </c>
      <c r="O383" s="165">
        <f t="shared" ca="1" si="109"/>
        <v>56.001490491191227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IFERROR(__xludf.DUMMYFUNCTION("IMPORTRANGE(""https://docs.google.com/spreadsheets/d/1XL5vhW3sbDhbH9Cz0tuDiY8C3ctxq1tqvaCgkFb8cCA/edit?usp=sharing"",""ศรีสะเกษ!M280"")"),575986.53)</f>
        <v>575986.53</v>
      </c>
      <c r="O385" s="169">
        <f t="shared" ca="1" si="109"/>
        <v>56.001490491191227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IFERROR(__xludf.DUMMYFUNCTION("IMPORTRANGE(""https://docs.google.com/spreadsheets/d/1XL5vhW3sbDhbH9Cz0tuDiY8C3ctxq1tqvaCgkFb8cCA/edit?usp=sharing"",""ศรีสะเกษ!M281"")"),159280)</f>
        <v>159280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IFERROR(__xludf.DUMMYFUNCTION("IMPORTRANGE(""https://docs.google.com/spreadsheets/d/1XL5vhW3sbDhbH9Cz0tuDiY8C3ctxq1tqvaCgkFb8cCA/edit?usp=sharing"",""ศรีสะเกษ!M282"")"),293448)</f>
        <v>293448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IFERROR(__xludf.DUMMYFUNCTION("IMPORTRANGE(""https://docs.google.com/spreadsheets/d/1XL5vhW3sbDhbH9Cz0tuDiY8C3ctxq1tqvaCgkFb8cCA/edit?usp=sharing"",""ศรีสะเกษ!M283"")"),98278.53)</f>
        <v>98278.53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IFERROR(__xludf.DUMMYFUNCTION("IMPORTRANGE(""https://docs.google.com/spreadsheets/d/1XL5vhW3sbDhbH9Cz0tuDiY8C3ctxq1tqvaCgkFb8cCA/edit?usp=sharing"",""ศรีสะเกษ!M284"")"),24980)</f>
        <v>24980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IFERROR(__xludf.DUMMYFUNCTION("IMPORTRANGE(""https://docs.google.com/spreadsheets/d/1XL5vhW3sbDhbH9Cz0tuDiY8C3ctxq1tqvaCgkFb8cCA/edit?usp=sharing"",""ศรีสะเกษ!J317"")"),105)</f>
        <v>105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IFERROR(__xludf.DUMMYFUNCTION("IMPORTRANGE(""https://docs.google.com/spreadsheets/d/1XL5vhW3sbDhbH9Cz0tuDiY8C3ctxq1tqvaCgkFb8cCA/edit?usp=sharing"",""ศรีสะเกษ!J322"")"),51)</f>
        <v>51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IFERROR(__xludf.DUMMYFUNCTION("IMPORTRANGE(""https://docs.google.com/spreadsheets/d/1XL5vhW3sbDhbH9Cz0tuDiY8C3ctxq1tqvaCgkFb8cCA/edit?usp=sharing"",""ศรีสะเกษ!J329"")"),0)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IFERROR(__xludf.DUMMYFUNCTION("IMPORTRANGE(""https://docs.google.com/spreadsheets/d/1XL5vhW3sbDhbH9Cz0tuDiY8C3ctxq1tqvaCgkFb8cCA/edit?usp=sharing"",""ศรีสะเกษ!M330"")"),98465)</f>
        <v>98465</v>
      </c>
      <c r="O435" s="412">
        <f t="shared" ref="O435:O439" ca="1" si="114">+IF(L435&gt;0,N435*100/L435,0)</f>
        <v>74.03383458646617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IFERROR(__xludf.DUMMYFUNCTION("IMPORTRANGE(""https://docs.google.com/spreadsheets/d/1XL5vhW3sbDhbH9Cz0tuDiY8C3ctxq1tqvaCgkFb8cCA/edit?usp=sharing"",""ศรีสะเกษ!M332"")"),98465)</f>
        <v>98465</v>
      </c>
      <c r="O437" s="169">
        <f t="shared" ca="1" si="114"/>
        <v>74.03383458646617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IFERROR(__xludf.DUMMYFUNCTION("IMPORTRANGE(""https://docs.google.com/spreadsheets/d/1XL5vhW3sbDhbH9Cz0tuDiY8C3ctxq1tqvaCgkFb8cCA/edit?usp=sharing"",""ศรีสะเกษ!M334"")"),98465)</f>
        <v>98465</v>
      </c>
      <c r="O439" s="169">
        <f t="shared" ca="1" si="114"/>
        <v>74.03383458646617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IFERROR(__xludf.DUMMYFUNCTION("IMPORTRANGE(""https://docs.google.com/spreadsheets/d/1XL5vhW3sbDhbH9Cz0tuDiY8C3ctxq1tqvaCgkFb8cCA/edit?usp=sharing"",""ศรีสะเกษ!M335"")"),75005)</f>
        <v>75005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IFERROR(__xludf.DUMMYFUNCTION("IMPORTRANGE(""https://docs.google.com/spreadsheets/d/1XL5vhW3sbDhbH9Cz0tuDiY8C3ctxq1tqvaCgkFb8cCA/edit?usp=sharing"",""ศรีสะเกษ!M338"")"),23460)</f>
        <v>23460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IFERROR(__xludf.DUMMYFUNCTION("IMPORTRANGE(""https://docs.google.com/spreadsheets/d/1XL5vhW3sbDhbH9Cz0tuDiY8C3ctxq1tqvaCgkFb8cCA/edit?usp=sharing"",""ศรีสะเกษ!J349"")"),1)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IFERROR(__xludf.DUMMYFUNCTION("IMPORTRANGE(""https://docs.google.com/spreadsheets/d/1XL5vhW3sbDhbH9Cz0tuDiY8C3ctxq1tqvaCgkFb8cCA/edit?usp=sharing"",""ศรีสะเกษ!J350"")"),51444)</f>
        <v>51444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IFERROR(__xludf.DUMMYFUNCTION("IMPORTRANGE(""https://docs.google.com/spreadsheets/d/1XL5vhW3sbDhbH9Cz0tuDiY8C3ctxq1tqvaCgkFb8cCA/edit?usp=sharing"",""ศรีสะเกษ!L350"")"),849221)</f>
        <v>849221</v>
      </c>
      <c r="M455" s="373"/>
      <c r="N455" s="373">
        <f ca="1">IFERROR(__xludf.DUMMYFUNCTION("IMPORTRANGE(""https://docs.google.com/spreadsheets/d/1XL5vhW3sbDhbH9Cz0tuDiY8C3ctxq1tqvaCgkFb8cCA/edit?usp=sharing"",""ศรีสะเกษ!M350"")"),401799.37)</f>
        <v>401799.37</v>
      </c>
      <c r="O455" s="373">
        <f t="shared" ref="O455:O459" ca="1" si="116">+IF(L455&gt;0,N455*100/L455,0)</f>
        <v>47.313875893318702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IFERROR(__xludf.DUMMYFUNCTION("IMPORTRANGE(""https://docs.google.com/spreadsheets/d/1XL5vhW3sbDhbH9Cz0tuDiY8C3ctxq1tqvaCgkFb8cCA/edit?usp=sharing"",""ศรีสะเกษ!L352"")"),849221)</f>
        <v>849221</v>
      </c>
      <c r="M457" s="165"/>
      <c r="N457" s="169">
        <f ca="1">IFERROR(__xludf.DUMMYFUNCTION("IMPORTRANGE(""https://docs.google.com/spreadsheets/d/1XL5vhW3sbDhbH9Cz0tuDiY8C3ctxq1tqvaCgkFb8cCA/edit?usp=sharing"",""ศรีสะเกษ!M352"")"),401799.37)</f>
        <v>401799.37</v>
      </c>
      <c r="O457" s="169">
        <f t="shared" ca="1" si="116"/>
        <v>47.313875893318702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IFERROR(__xludf.DUMMYFUNCTION("IMPORTRANGE(""https://docs.google.com/spreadsheets/d/1XL5vhW3sbDhbH9Cz0tuDiY8C3ctxq1tqvaCgkFb8cCA/edit?usp=sharing"",""ศรีสะเกษ!L354"")"),849221)</f>
        <v>849221</v>
      </c>
      <c r="M459" s="169"/>
      <c r="N459" s="169">
        <f ca="1">IFERROR(__xludf.DUMMYFUNCTION("IMPORTRANGE(""https://docs.google.com/spreadsheets/d/1XL5vhW3sbDhbH9Cz0tuDiY8C3ctxq1tqvaCgkFb8cCA/edit?usp=sharing"",""ศรีสะเกษ!M354"")"),401799.37)</f>
        <v>401799.37</v>
      </c>
      <c r="O459" s="169">
        <f t="shared" ca="1" si="116"/>
        <v>47.313875893318702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IFERROR(__xludf.DUMMYFUNCTION("IMPORTRANGE(""https://docs.google.com/spreadsheets/d/1XL5vhW3sbDhbH9Cz0tuDiY8C3ctxq1tqvaCgkFb8cCA/edit?usp=sharing"",""ศรีสะเกษ!M357"")"),105387.12)</f>
        <v>105387.12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IFERROR(__xludf.DUMMYFUNCTION("IMPORTRANGE(""https://docs.google.com/spreadsheets/d/1XL5vhW3sbDhbH9Cz0tuDiY8C3ctxq1tqvaCgkFb8cCA/edit?usp=sharing"",""ศรีสะเกษ!M358"")"),296412.25)</f>
        <v>296412.25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IFERROR(__xludf.DUMMYFUNCTION("IMPORTRANGE(""https://docs.google.com/spreadsheets/d/1XL5vhW3sbDhbH9Cz0tuDiY8C3ctxq1tqvaCgkFb8cCA/edit?usp=sharing"",""ศรีสะเกษ!J359"")"),51444)</f>
        <v>51444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IFERROR(__xludf.DUMMYFUNCTION("IMPORTRANGE(""https://docs.google.com/spreadsheets/d/1XL5vhW3sbDhbH9Cz0tuDiY8C3ctxq1tqvaCgkFb8cCA/edit?usp=sharing"",""ศรีสะเกษ!J376"")"),51444)</f>
        <v>51444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IFERROR(__xludf.DUMMYFUNCTION("IMPORTRANGE(""https://docs.google.com/spreadsheets/d/1XL5vhW3sbDhbH9Cz0tuDiY8C3ctxq1tqvaCgkFb8cCA/edit?usp=sharing"",""ศรีสะเกษ!J377"")"),11134)</f>
        <v>11134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IFERROR(__xludf.DUMMYFUNCTION("IMPORTRANGE(""https://docs.google.com/spreadsheets/d/1XL5vhW3sbDhbH9Cz0tuDiY8C3ctxq1tqvaCgkFb8cCA/edit?usp=sharing"",""ศรีสะเกษ!J384"")"),1394)</f>
        <v>1394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IFERROR(__xludf.DUMMYFUNCTION("IMPORTRANGE(""https://docs.google.com/spreadsheets/d/1XL5vhW3sbDhbH9Cz0tuDiY8C3ctxq1tqvaCgkFb8cCA/edit?usp=sharing"",""ศรีสะเกษ!J385"")"),287)</f>
        <v>287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IFERROR(__xludf.DUMMYFUNCTION("IMPORTRANGE(""https://docs.google.com/spreadsheets/d/1XL5vhW3sbDhbH9Cz0tuDiY8C3ctxq1tqvaCgkFb8cCA/edit?usp=sharing"",""ศรีสะเกษ!J392"")"),2629)</f>
        <v>2629</v>
      </c>
      <c r="K497" s="444">
        <f t="shared" ca="1" si="117"/>
        <v>78.996394230769226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IFERROR(__xludf.DUMMYFUNCTION("IMPORTRANGE(""https://docs.google.com/spreadsheets/d/1XL5vhW3sbDhbH9Cz0tuDiY8C3ctxq1tqvaCgkFb8cCA/edit?usp=sharing"",""ศรีสะเกษ!J393"")"),2629)</f>
        <v>2629</v>
      </c>
      <c r="K498" s="202">
        <f t="shared" ca="1" si="117"/>
        <v>78.996394230769226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IFERROR(__xludf.DUMMYFUNCTION("IMPORTRANGE(""https://docs.google.com/spreadsheets/d/1XL5vhW3sbDhbH9Cz0tuDiY8C3ctxq1tqvaCgkFb8cCA/edit?usp=sharing"",""ศรีสะเกษ!J394"")"),579)</f>
        <v>579</v>
      </c>
      <c r="K499" s="202">
        <f t="shared" ca="1" si="117"/>
        <v>79.752066115702476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IFERROR(__xludf.DUMMYFUNCTION("IMPORTRANGE(""https://docs.google.com/spreadsheets/d/1XL5vhW3sbDhbH9Cz0tuDiY8C3ctxq1tqvaCgkFb8cCA/edit?usp=sharing"",""ศรีสะเกษ!J395"")"),2043)</f>
        <v>2043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IFERROR(__xludf.DUMMYFUNCTION("IMPORTRANGE(""https://docs.google.com/spreadsheets/d/1XL5vhW3sbDhbH9Cz0tuDiY8C3ctxq1tqvaCgkFb8cCA/edit?usp=sharing"",""ศรีสะเกษ!J396"")"),445)</f>
        <v>445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IFERROR(__xludf.DUMMYFUNCTION("IMPORTRANGE(""https://docs.google.com/spreadsheets/d/1XL5vhW3sbDhbH9Cz0tuDiY8C3ctxq1tqvaCgkFb8cCA/edit?usp=sharing"",""ศรีสะเกษ!J397"")"),2009)</f>
        <v>2009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IFERROR(__xludf.DUMMYFUNCTION("IMPORTRANGE(""https://docs.google.com/spreadsheets/d/1XL5vhW3sbDhbH9Cz0tuDiY8C3ctxq1tqvaCgkFb8cCA/edit?usp=sharing"",""ศรีสะเกษ!J398"")"),416)</f>
        <v>416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IFERROR(__xludf.DUMMYFUNCTION("IMPORTRANGE(""https://docs.google.com/spreadsheets/d/1XL5vhW3sbDhbH9Cz0tuDiY8C3ctxq1tqvaCgkFb8cCA/edit?usp=sharing"",""ศรีสะเกษ!J399"")"),34)</f>
        <v>34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IFERROR(__xludf.DUMMYFUNCTION("IMPORTRANGE(""https://docs.google.com/spreadsheets/d/1XL5vhW3sbDhbH9Cz0tuDiY8C3ctxq1tqvaCgkFb8cCA/edit?usp=sharing"",""ศรีสะเกษ!J400"")"),29)</f>
        <v>29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IFERROR(__xludf.DUMMYFUNCTION("IMPORTRANGE(""https://docs.google.com/spreadsheets/d/1XL5vhW3sbDhbH9Cz0tuDiY8C3ctxq1tqvaCgkFb8cCA/edit?usp=sharing"",""ศรีสะเกษ!J403"")"),274)</f>
        <v>274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IFERROR(__xludf.DUMMYFUNCTION("IMPORTRANGE(""https://docs.google.com/spreadsheets/d/1XL5vhW3sbDhbH9Cz0tuDiY8C3ctxq1tqvaCgkFb8cCA/edit?usp=sharing"",""ศรีสะเกษ!J404"")"),51)</f>
        <v>51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IFERROR(__xludf.DUMMYFUNCTION("IMPORTRANGE(""https://docs.google.com/spreadsheets/d/1XL5vhW3sbDhbH9Cz0tuDiY8C3ctxq1tqvaCgkFb8cCA/edit?usp=sharing"",""ศรีสะเกษ!J405"")"),258)</f>
        <v>258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IFERROR(__xludf.DUMMYFUNCTION("IMPORTRANGE(""https://docs.google.com/spreadsheets/d/1XL5vhW3sbDhbH9Cz0tuDiY8C3ctxq1tqvaCgkFb8cCA/edit?usp=sharing"",""ศรีสะเกษ!J406"")"),45)</f>
        <v>45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IFERROR(__xludf.DUMMYFUNCTION("IMPORTRANGE(""https://docs.google.com/spreadsheets/d/1XL5vhW3sbDhbH9Cz0tuDiY8C3ctxq1tqvaCgkFb8cCA/edit?usp=sharing"",""ศรีสะเกษ!J407"")"),16)</f>
        <v>16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IFERROR(__xludf.DUMMYFUNCTION("IMPORTRANGE(""https://docs.google.com/spreadsheets/d/1XL5vhW3sbDhbH9Cz0tuDiY8C3ctxq1tqvaCgkFb8cCA/edit?usp=sharing"",""ศรีสะเกษ!J408"")"),6)</f>
        <v>6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IFERROR(__xludf.DUMMYFUNCTION("IMPORTRANGE(""https://docs.google.com/spreadsheets/d/1XL5vhW3sbDhbH9Cz0tuDiY8C3ctxq1tqvaCgkFb8cCA/edit?usp=sharing"",""ศรีสะเกษ!J409"")"),312)</f>
        <v>312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IFERROR(__xludf.DUMMYFUNCTION("IMPORTRANGE(""https://docs.google.com/spreadsheets/d/1XL5vhW3sbDhbH9Cz0tuDiY8C3ctxq1tqvaCgkFb8cCA/edit?usp=sharing"",""ศรีสะเกษ!J410"")"),83)</f>
        <v>83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IFERROR(__xludf.DUMMYFUNCTION("IMPORTRANGE(""https://docs.google.com/spreadsheets/d/1XL5vhW3sbDhbH9Cz0tuDiY8C3ctxq1tqvaCgkFb8cCA/edit?usp=sharing"",""ศรีสะเกษ!I412"")"),0)</f>
        <v>0</v>
      </c>
      <c r="J517" s="285">
        <f ca="1">IFERROR(__xludf.DUMMYFUNCTION("IMPORTRANGE(""https://docs.google.com/spreadsheets/d/1XL5vhW3sbDhbH9Cz0tuDiY8C3ctxq1tqvaCgkFb8cCA/edit?usp=sharing"",""ศรีสะเกษ!J412"")"),0)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IFERROR(__xludf.DUMMYFUNCTION("IMPORTRANGE(""https://docs.google.com/spreadsheets/d/1XL5vhW3sbDhbH9Cz0tuDiY8C3ctxq1tqvaCgkFb8cCA/edit?usp=sharing"",""ศรีสะเกษ!I413"")"),0)</f>
        <v>0</v>
      </c>
      <c r="J518" s="285">
        <f ca="1">IFERROR(__xludf.DUMMYFUNCTION("IMPORTRANGE(""https://docs.google.com/spreadsheets/d/1XL5vhW3sbDhbH9Cz0tuDiY8C3ctxq1tqvaCgkFb8cCA/edit?usp=sharing"",""ศรีสะเกษ!J413"")"),0)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IFERROR(__xludf.DUMMYFUNCTION("IMPORTRANGE(""https://docs.google.com/spreadsheets/d/1XL5vhW3sbDhbH9Cz0tuDiY8C3ctxq1tqvaCgkFb8cCA/edit?usp=sharing"",""ศรีสะเกษ!J418"")"),144)</f>
        <v>144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IFERROR(__xludf.DUMMYFUNCTION("IMPORTRANGE(""https://docs.google.com/spreadsheets/d/1XL5vhW3sbDhbH9Cz0tuDiY8C3ctxq1tqvaCgkFb8cCA/edit?usp=sharing"",""ศรีสะเกษ!J419"")"),11)</f>
        <v>11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IFERROR(__xludf.DUMMYFUNCTION("IMPORTRANGE(""https://docs.google.com/spreadsheets/d/1XL5vhW3sbDhbH9Cz0tuDiY8C3ctxq1tqvaCgkFb8cCA/edit?usp=sharing"",""ศรีสะเกษ!I420"")"),144)</f>
        <v>144</v>
      </c>
      <c r="J525" s="285">
        <f ca="1">IFERROR(__xludf.DUMMYFUNCTION("IMPORTRANGE(""https://docs.google.com/spreadsheets/d/1XL5vhW3sbDhbH9Cz0tuDiY8C3ctxq1tqvaCgkFb8cCA/edit?usp=sharing"",""ศรีสะเกษ!J420"")"),0)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IFERROR(__xludf.DUMMYFUNCTION("IMPORTRANGE(""https://docs.google.com/spreadsheets/d/1XL5vhW3sbDhbH9Cz0tuDiY8C3ctxq1tqvaCgkFb8cCA/edit?usp=sharing"",""ศรีสะเกษ!I421"")"),11)</f>
        <v>11</v>
      </c>
      <c r="J526" s="285">
        <f ca="1">IFERROR(__xludf.DUMMYFUNCTION("IMPORTRANGE(""https://docs.google.com/spreadsheets/d/1XL5vhW3sbDhbH9Cz0tuDiY8C3ctxq1tqvaCgkFb8cCA/edit?usp=sharing"",""ศรีสะเกษ!J421"")"),0)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IFERROR(__xludf.DUMMYFUNCTION("IMPORTRANGE(""https://docs.google.com/spreadsheets/d/1XL5vhW3sbDhbH9Cz0tuDiY8C3ctxq1tqvaCgkFb8cCA/edit?usp=sharing"",""ศรีสะเกษ!M428"")"),26210)</f>
        <v>26210</v>
      </c>
      <c r="O533" s="412">
        <f t="shared" ref="O533:O537" ca="1" si="118">+IF(L533&gt;0,N533*100/L533,0)</f>
        <v>80.300245098039213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IFERROR(__xludf.DUMMYFUNCTION("IMPORTRANGE(""https://docs.google.com/spreadsheets/d/1XL5vhW3sbDhbH9Cz0tuDiY8C3ctxq1tqvaCgkFb8cCA/edit?usp=sharing"",""ศรีสะเกษ!M430"")"),26210)</f>
        <v>26210</v>
      </c>
      <c r="O535" s="169">
        <f t="shared" ca="1" si="118"/>
        <v>80.300245098039213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IFERROR(__xludf.DUMMYFUNCTION("IMPORTRANGE(""https://docs.google.com/spreadsheets/d/1XL5vhW3sbDhbH9Cz0tuDiY8C3ctxq1tqvaCgkFb8cCA/edit?usp=sharing"",""ศรีสะเกษ!M432"")"),26210)</f>
        <v>26210</v>
      </c>
      <c r="O537" s="169">
        <f t="shared" ca="1" si="118"/>
        <v>80.300245098039213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IFERROR(__xludf.DUMMYFUNCTION("IMPORTRANGE(""https://docs.google.com/spreadsheets/d/1XL5vhW3sbDhbH9Cz0tuDiY8C3ctxq1tqvaCgkFb8cCA/edit?usp=sharing"",""ศรีสะเกษ!M436"")"),9170)</f>
        <v>9170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IFERROR(__xludf.DUMMYFUNCTION("IMPORTRANGE(""https://docs.google.com/spreadsheets/d/1XL5vhW3sbDhbH9Cz0tuDiY8C3ctxq1tqvaCgkFb8cCA/edit?usp=sharing"",""ศรีสะเกษ!J459"")"),10148)</f>
        <v>10148</v>
      </c>
      <c r="K564" s="372">
        <f ca="1">IF(I564&gt;0,J564*100/I564,0)</f>
        <v>153.75757575757575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IFERROR(__xludf.DUMMYFUNCTION("IMPORTRANGE(""https://docs.google.com/spreadsheets/d/1XL5vhW3sbDhbH9Cz0tuDiY8C3ctxq1tqvaCgkFb8cCA/edit?usp=sharing"",""ศรีสะเกษ!M459"")"),186905.229999999)</f>
        <v>186905.22999999899</v>
      </c>
      <c r="O564" s="373">
        <f t="shared" ref="O564:O568" ca="1" si="122">+IF(L564&gt;0,N564*100/L564,0)</f>
        <v>95.947243326488191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IFERROR(__xludf.DUMMYFUNCTION("IMPORTRANGE(""https://docs.google.com/spreadsheets/d/1XL5vhW3sbDhbH9Cz0tuDiY8C3ctxq1tqvaCgkFb8cCA/edit?usp=sharing"",""ศรีสะเกษ!M461"")"),186905.229999999)</f>
        <v>186905.22999999899</v>
      </c>
      <c r="O566" s="169">
        <f t="shared" ca="1" si="122"/>
        <v>95.947243326488191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IFERROR(__xludf.DUMMYFUNCTION("IMPORTRANGE(""https://docs.google.com/spreadsheets/d/1XL5vhW3sbDhbH9Cz0tuDiY8C3ctxq1tqvaCgkFb8cCA/edit?usp=sharing"",""ศรีสะเกษ!M463"")"),186905.229999999)</f>
        <v>186905.22999999899</v>
      </c>
      <c r="O568" s="169">
        <f t="shared" ca="1" si="122"/>
        <v>95.947243326488191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IFERROR(__xludf.DUMMYFUNCTION("IMPORTRANGE(""https://docs.google.com/spreadsheets/d/1XL5vhW3sbDhbH9Cz0tuDiY8C3ctxq1tqvaCgkFb8cCA/edit?usp=sharing"",""ศรีสะเกษ!M466"")"),95345.23)</f>
        <v>95345.23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IFERROR(__xludf.DUMMYFUNCTION("IMPORTRANGE(""https://docs.google.com/spreadsheets/d/1XL5vhW3sbDhbH9Cz0tuDiY8C3ctxq1tqvaCgkFb8cCA/edit?usp=sharing"",""ศรีสะเกษ!M467"")"),91560)</f>
        <v>91560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IFERROR(__xludf.DUMMYFUNCTION("IMPORTRANGE(""https://docs.google.com/spreadsheets/d/1XL5vhW3sbDhbH9Cz0tuDiY8C3ctxq1tqvaCgkFb8cCA/edit?usp=sharing"",""ศรีสะเกษ!J468"")"),10148)</f>
        <v>10148</v>
      </c>
      <c r="K573" s="202">
        <f ca="1">IF(I573&gt;0,J573*100/I573,0)</f>
        <v>153.75757575757575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IFERROR(__xludf.DUMMYFUNCTION("IMPORTRANGE(""https://docs.google.com/spreadsheets/d/1XL5vhW3sbDhbH9Cz0tuDiY8C3ctxq1tqvaCgkFb8cCA/edit?usp=sharing"",""ศรีสะเกษ!J471"")"),462)</f>
        <v>462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IFERROR(__xludf.DUMMYFUNCTION("IMPORTRANGE(""https://docs.google.com/spreadsheets/d/1XL5vhW3sbDhbH9Cz0tuDiY8C3ctxq1tqvaCgkFb8cCA/edit?usp=sharing"",""ศรีสะเกษ!J472"")"),9686)</f>
        <v>9686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IFERROR(__xludf.DUMMYFUNCTION("IMPORTRANGE(""https://docs.google.com/spreadsheets/d/1XL5vhW3sbDhbH9Cz0tuDiY8C3ctxq1tqvaCgkFb8cCA/edit?usp=sharing"",""ศรีสะเกษ!J475"")"),101)</f>
        <v>101</v>
      </c>
      <c r="K580" s="372">
        <f ca="1">IF(I580&gt;0,J580*100/I580,0)</f>
        <v>67.333333333333329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IFERROR(__xludf.DUMMYFUNCTION("IMPORTRANGE(""https://docs.google.com/spreadsheets/d/1XL5vhW3sbDhbH9Cz0tuDiY8C3ctxq1tqvaCgkFb8cCA/edit?usp=sharing"",""ศรีสะเกษ!M475"")"),132517.44)</f>
        <v>132517.44</v>
      </c>
      <c r="O580" s="373">
        <f t="shared" ref="O580:O584" ca="1" si="124">+IF(L580&gt;0,N580*100/L580,0)</f>
        <v>37.250158819395644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IFERROR(__xludf.DUMMYFUNCTION("IMPORTRANGE(""https://docs.google.com/spreadsheets/d/1XL5vhW3sbDhbH9Cz0tuDiY8C3ctxq1tqvaCgkFb8cCA/edit?usp=sharing"",""ศรีสะเกษ!M477"")"),132517.44)</f>
        <v>132517.44</v>
      </c>
      <c r="O582" s="169">
        <f t="shared" ca="1" si="124"/>
        <v>37.250158819395644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IFERROR(__xludf.DUMMYFUNCTION("IMPORTRANGE(""https://docs.google.com/spreadsheets/d/1XL5vhW3sbDhbH9Cz0tuDiY8C3ctxq1tqvaCgkFb8cCA/edit?usp=sharing"",""ศรีสะเกษ!M479"")"),132517.44)</f>
        <v>132517.44</v>
      </c>
      <c r="O584" s="169">
        <f t="shared" ca="1" si="124"/>
        <v>37.250158819395644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IFERROR(__xludf.DUMMYFUNCTION("IMPORTRANGE(""https://docs.google.com/spreadsheets/d/1XL5vhW3sbDhbH9Cz0tuDiY8C3ctxq1tqvaCgkFb8cCA/edit?usp=sharing"",""ศรีสะเกษ!M482"")"),104677.44)</f>
        <v>104677.44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IFERROR(__xludf.DUMMYFUNCTION("IMPORTRANGE(""https://docs.google.com/spreadsheets/d/1XL5vhW3sbDhbH9Cz0tuDiY8C3ctxq1tqvaCgkFb8cCA/edit?usp=sharing"",""ศรีสะเกษ!M483"")"),27840)</f>
        <v>27840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IFERROR(__xludf.DUMMYFUNCTION("IMPORTRANGE(""https://docs.google.com/spreadsheets/d/1XL5vhW3sbDhbH9Cz0tuDiY8C3ctxq1tqvaCgkFb8cCA/edit?usp=sharing"",""ศรีสะเกษ!J484"")"),27)</f>
        <v>27</v>
      </c>
      <c r="K589" s="163">
        <f t="shared" ref="K589:K596" ca="1" si="125">IF(I589&gt;0,J589*100/I589,0)</f>
        <v>18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IFERROR(__xludf.DUMMYFUNCTION("IMPORTRANGE(""https://docs.google.com/spreadsheets/d/1XL5vhW3sbDhbH9Cz0tuDiY8C3ctxq1tqvaCgkFb8cCA/edit?usp=sharing"",""ศรีสะเกษ!J485"")"),12.68)</f>
        <v>12.68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IFERROR(__xludf.DUMMYFUNCTION("IMPORTRANGE(""https://docs.google.com/spreadsheets/d/1XL5vhW3sbDhbH9Cz0tuDiY8C3ctxq1tqvaCgkFb8cCA/edit?usp=sharing"",""ศรีสะเกษ!J486"")"),72)</f>
        <v>72</v>
      </c>
      <c r="K591" s="163">
        <f t="shared" ca="1" si="125"/>
        <v>48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IFERROR(__xludf.DUMMYFUNCTION("IMPORTRANGE(""https://docs.google.com/spreadsheets/d/1XL5vhW3sbDhbH9Cz0tuDiY8C3ctxq1tqvaCgkFb8cCA/edit?usp=sharing"",""ศรีสะเกษ!J487"")"),45.1)</f>
        <v>45.1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IFERROR(__xludf.DUMMYFUNCTION("IMPORTRANGE(""https://docs.google.com/spreadsheets/d/1XL5vhW3sbDhbH9Cz0tuDiY8C3ctxq1tqvaCgkFb8cCA/edit?usp=sharing"",""ศรีสะเกษ!J490"")"),101)</f>
        <v>101</v>
      </c>
      <c r="K595" s="163">
        <f t="shared" ca="1" si="125"/>
        <v>67.333333333333329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IFERROR(__xludf.DUMMYFUNCTION("IMPORTRANGE(""https://docs.google.com/spreadsheets/d/1XL5vhW3sbDhbH9Cz0tuDiY8C3ctxq1tqvaCgkFb8cCA/edit?usp=sharing"",""ศรีสะเกษ!J491"")"),40.26)</f>
        <v>40.26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8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IFERROR(__xludf.DUMMYFUNCTION("IMPORTRANGE(""https://docs.google.com/spreadsheets/d/1XL5vhW3sbDhbH9Cz0tuDiY8C3ctxq1tqvaCgkFb8cCA/edit?usp=sharing"",""ศรีสะเกษ!M492"")"),4200)</f>
        <v>4200</v>
      </c>
      <c r="O597" s="412">
        <f t="shared" ref="O597:O601" ca="1" si="126">+IF(L597&gt;0,N597*100/L597,0)</f>
        <v>43.298969072164951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IFERROR(__xludf.DUMMYFUNCTION("IMPORTRANGE(""https://docs.google.com/spreadsheets/d/1XL5vhW3sbDhbH9Cz0tuDiY8C3ctxq1tqvaCgkFb8cCA/edit?usp=sharing"",""ศรีสะเกษ!L494"")"),9700)</f>
        <v>9700</v>
      </c>
      <c r="M599" s="165"/>
      <c r="N599" s="169">
        <f ca="1">IFERROR(__xludf.DUMMYFUNCTION("IMPORTRANGE(""https://docs.google.com/spreadsheets/d/1XL5vhW3sbDhbH9Cz0tuDiY8C3ctxq1tqvaCgkFb8cCA/edit?usp=sharing"",""ศรีสะเกษ!M494"")"),4200)</f>
        <v>4200</v>
      </c>
      <c r="O599" s="169">
        <f t="shared" ca="1" si="126"/>
        <v>43.298969072164951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IFERROR(__xludf.DUMMYFUNCTION("IMPORTRANGE(""https://docs.google.com/spreadsheets/d/1XL5vhW3sbDhbH9Cz0tuDiY8C3ctxq1tqvaCgkFb8cCA/edit?usp=sharing"",""ศรีสะเกษ!L496"")"),9700)</f>
        <v>9700</v>
      </c>
      <c r="M601" s="169"/>
      <c r="N601" s="169">
        <f ca="1">IFERROR(__xludf.DUMMYFUNCTION("IMPORTRANGE(""https://docs.google.com/spreadsheets/d/1XL5vhW3sbDhbH9Cz0tuDiY8C3ctxq1tqvaCgkFb8cCA/edit?usp=sharing"",""ศรีสะเกษ!M496"")"),4200)</f>
        <v>4200</v>
      </c>
      <c r="O601" s="169">
        <f t="shared" ca="1" si="126"/>
        <v>43.298969072164951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IFERROR(__xludf.DUMMYFUNCTION("IMPORTRANGE(""https://docs.google.com/spreadsheets/d/1XL5vhW3sbDhbH9Cz0tuDiY8C3ctxq1tqvaCgkFb8cCA/edit?usp=sharing"",""ศรีสะเกษ!M500"")"),4200)</f>
        <v>4200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IFERROR(__xludf.DUMMYFUNCTION("IMPORTRANGE(""https://docs.google.com/spreadsheets/d/1XL5vhW3sbDhbH9Cz0tuDiY8C3ctxq1tqvaCgkFb8cCA/edit?usp=sharing"",""ศรีสะเกษ!J166"")"),0)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IFERROR(__xludf.DUMMYFUNCTION("IMPORTRANGE(""https://docs.google.com/spreadsheets/d/1XL5vhW3sbDhbH9Cz0tuDiY8C3ctxq1tqvaCgkFb8cCA/edit?usp=sharing"",""ศรีสะเกษ!J166"")"),0)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2">
        <f ca="1">IFERROR(__xludf.DUMMYFUNCTION("IMPORTRANGE(""https://docs.google.com/spreadsheets/d/1XL5vhW3sbDhbH9Cz0tuDiY8C3ctxq1tqvaCgkFb8cCA/edit?usp=sharing"",""ศรีสะเกษ!J523"")"),7331126.45)</f>
        <v>7331126.4500000002</v>
      </c>
      <c r="K628" s="343">
        <f t="shared" ref="K628:K635" ca="1" si="129">IF(I628&gt;0,J628*100/I628,0)</f>
        <v>81.631090464961503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IFERROR(__xludf.DUMMYFUNCTION("IMPORTRANGE(""https://docs.google.com/spreadsheets/d/1XL5vhW3sbDhbH9Cz0tuDiY8C3ctxq1tqvaCgkFb8cCA/edit?usp=sharing"",""ศรีสะเกษ!I524"")"),695)</f>
        <v>695</v>
      </c>
      <c r="J629" s="342">
        <f ca="1">IFERROR(__xludf.DUMMYFUNCTION("IMPORTRANGE(""https://docs.google.com/spreadsheets/d/1XL5vhW3sbDhbH9Cz0tuDiY8C3ctxq1tqvaCgkFb8cCA/edit?usp=sharing"",""ศรีสะเกษ!J524"")"),583)</f>
        <v>583</v>
      </c>
      <c r="K629" s="343">
        <f t="shared" ca="1" si="129"/>
        <v>83.884892086330936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2">
        <f ca="1">IFERROR(__xludf.DUMMYFUNCTION("IMPORTRANGE(""https://docs.google.com/spreadsheets/d/1XL5vhW3sbDhbH9Cz0tuDiY8C3ctxq1tqvaCgkFb8cCA/edit?usp=sharing"",""ศรีสะเกษ!J525"")"),4619631.83)</f>
        <v>4619631.83</v>
      </c>
      <c r="K630" s="343">
        <f t="shared" ca="1" si="129"/>
        <v>20.115784667695721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IFERROR(__xludf.DUMMYFUNCTION("IMPORTRANGE(""https://docs.google.com/spreadsheets/d/1XL5vhW3sbDhbH9Cz0tuDiY8C3ctxq1tqvaCgkFb8cCA/edit?usp=sharing"",""ศรีสะเกษ!I526"")"),1393)</f>
        <v>1393</v>
      </c>
      <c r="J631" s="342">
        <f ca="1">IFERROR(__xludf.DUMMYFUNCTION("IMPORTRANGE(""https://docs.google.com/spreadsheets/d/1XL5vhW3sbDhbH9Cz0tuDiY8C3ctxq1tqvaCgkFb8cCA/edit?usp=sharing"",""ศรีสะเกษ!J526"")"),658)</f>
        <v>658</v>
      </c>
      <c r="K631" s="343">
        <f t="shared" ca="1" si="129"/>
        <v>47.236180904522612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2">
        <f ca="1">IFERROR(__xludf.DUMMYFUNCTION("IMPORTRANGE(""https://docs.google.com/spreadsheets/d/1XL5vhW3sbDhbH9Cz0tuDiY8C3ctxq1tqvaCgkFb8cCA/edit?usp=sharing"",""ศรีสะเกษ!J527"")"),689846.46)</f>
        <v>689846.46</v>
      </c>
      <c r="K632" s="343">
        <f t="shared" ca="1" si="129"/>
        <v>37.147601216545624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IFERROR(__xludf.DUMMYFUNCTION("IMPORTRANGE(""https://docs.google.com/spreadsheets/d/1XL5vhW3sbDhbH9Cz0tuDiY8C3ctxq1tqvaCgkFb8cCA/edit?usp=sharing"",""ศรีสะเกษ!I528"")"),105)</f>
        <v>105</v>
      </c>
      <c r="J633" s="342">
        <f ca="1">IFERROR(__xludf.DUMMYFUNCTION("IMPORTRANGE(""https://docs.google.com/spreadsheets/d/1XL5vhW3sbDhbH9Cz0tuDiY8C3ctxq1tqvaCgkFb8cCA/edit?usp=sharing"",""ศรีสะเกษ!J528"")"),77)</f>
        <v>77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IFERROR(__xludf.DUMMYFUNCTION("IMPORTRANGE(""https://docs.google.com/spreadsheets/d/1XL5vhW3sbDhbH9Cz0tuDiY8C3ctxq1tqvaCgkFb8cCA/edit?usp=sharing"",""ศรีสะเกษ!I529"")"),8000000)</f>
        <v>8000000</v>
      </c>
      <c r="J634" s="342">
        <f ca="1">IFERROR(__xludf.DUMMYFUNCTION("IMPORTRANGE(""https://docs.google.com/spreadsheets/d/1XL5vhW3sbDhbH9Cz0tuDiY8C3ctxq1tqvaCgkFb8cCA/edit?usp=sharing"",""ศรีสะเกษ!J529"")"),8000000)</f>
        <v>8000000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IFERROR(__xludf.DUMMYFUNCTION("IMPORTRANGE(""https://docs.google.com/spreadsheets/d/1XL5vhW3sbDhbH9Cz0tuDiY8C3ctxq1tqvaCgkFb8cCA/edit?usp=sharing"",""ศรีสะเกษ!I530"")"),200)</f>
        <v>200</v>
      </c>
      <c r="J635" s="505">
        <f ca="1">IFERROR(__xludf.DUMMYFUNCTION("IMPORTRANGE(""https://docs.google.com/spreadsheets/d/1XL5vhW3sbDhbH9Cz0tuDiY8C3ctxq1tqvaCgkFb8cCA/edit?usp=sharing"",""ศรีสะเกษ!J530"")"),240)</f>
        <v>240</v>
      </c>
      <c r="K635" s="487">
        <f t="shared" ca="1" si="129"/>
        <v>120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IFERROR(__xludf.DUMMYFUNCTION("IMPORTRANGE(""https://docs.google.com/spreadsheets/d/1XL5vhW3sbDhbH9Cz0tuDiY8C3ctxq1tqvaCgkFb8cCA/edit#gid=346597447"",""ศรีสะเกษ!J541"")"),0)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IFERROR(__xludf.DUMMYFUNCTION("IMPORTRANGE(""https://docs.google.com/spreadsheets/d/1XL5vhW3sbDhbH9Cz0tuDiY8C3ctxq1tqvaCgkFb8cCA/edit#gid=346597447"",""ศรีสะเกษ!J542"")"),0)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IFERROR(__xludf.DUMMYFUNCTION("IMPORTRANGE(""https://docs.google.com/spreadsheets/d/1XL5vhW3sbDhbH9Cz0tuDiY8C3ctxq1tqvaCgkFb8cCA/edit#gid=346597447"",""ศรีสะเกษ!I543"")"),0)</f>
        <v>0</v>
      </c>
      <c r="J648" s="586">
        <f ca="1">IFERROR(__xludf.DUMMYFUNCTION("IMPORTRANGE(""https://docs.google.com/spreadsheets/d/1XL5vhW3sbDhbH9Cz0tuDiY8C3ctxq1tqvaCgkFb8cCA/edit#gid=346597447"",""ศรีสะเกษ!J543"")"),0)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IFERROR(__xludf.DUMMYFUNCTION("IMPORTRANGE(""https://docs.google.com/spreadsheets/d/1XL5vhW3sbDhbH9Cz0tuDiY8C3ctxq1tqvaCgkFb8cCA/edit#gid=346597447"",""ศรีสะเกษ!L543"")"),0)</f>
        <v>0</v>
      </c>
      <c r="M648" s="571"/>
      <c r="N648" s="588">
        <f ca="1">IFERROR(__xludf.DUMMYFUNCTION("IMPORTRANGE(""https://docs.google.com/spreadsheets/d/1XL5vhW3sbDhbH9Cz0tuDiY8C3ctxq1tqvaCgkFb8cCA/edit#gid=346597447"",""ศรีสะเกษ!M543"")"),0)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IFERROR(__xludf.DUMMYFUNCTION("IMPORTRANGE(""https://docs.google.com/spreadsheets/d/1XL5vhW3sbDhbH9Cz0tuDiY8C3ctxq1tqvaCgkFb8cCA/edit#gid=346597447"",""ศรีสะเกษ!I544"")"),0)</f>
        <v>0</v>
      </c>
      <c r="J649" s="586">
        <f ca="1">IFERROR(__xludf.DUMMYFUNCTION("IMPORTRANGE(""https://docs.google.com/spreadsheets/d/1XL5vhW3sbDhbH9Cz0tuDiY8C3ctxq1tqvaCgkFb8cCA/edit#gid=346597447"",""ศรีสะเกษ!J544"")"),0)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IFERROR(__xludf.DUMMYFUNCTION("IMPORTRANGE(""https://docs.google.com/spreadsheets/d/1XL5vhW3sbDhbH9Cz0tuDiY8C3ctxq1tqvaCgkFb8cCA/edit#gid=346597447"",""ศรีสะเกษ!L544"")"),0)</f>
        <v>0</v>
      </c>
      <c r="M649" s="571"/>
      <c r="N649" s="588">
        <f ca="1">IFERROR(__xludf.DUMMYFUNCTION("IMPORTRANGE(""https://docs.google.com/spreadsheets/d/1XL5vhW3sbDhbH9Cz0tuDiY8C3ctxq1tqvaCgkFb8cCA/edit#gid=346597447"",""ศรีสะเกษ!M544"")"),0)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IFERROR(__xludf.DUMMYFUNCTION("IMPORTRANGE(""https://docs.google.com/spreadsheets/d/1XL5vhW3sbDhbH9Cz0tuDiY8C3ctxq1tqvaCgkFb8cCA/edit#gid=346597447"",""ศรีสะเกษ!I545"")"),0)</f>
        <v>0</v>
      </c>
      <c r="J650" s="586">
        <f ca="1">IFERROR(__xludf.DUMMYFUNCTION("IMPORTRANGE(""https://docs.google.com/spreadsheets/d/1XL5vhW3sbDhbH9Cz0tuDiY8C3ctxq1tqvaCgkFb8cCA/edit#gid=346597447"",""ศรีสะเกษ!J545"")"),0)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IFERROR(__xludf.DUMMYFUNCTION("IMPORTRANGE(""https://docs.google.com/spreadsheets/d/1XL5vhW3sbDhbH9Cz0tuDiY8C3ctxq1tqvaCgkFb8cCA/edit#gid=346597447"",""ศรีสะเกษ!L545"")"),0)</f>
        <v>0</v>
      </c>
      <c r="M650" s="571"/>
      <c r="N650" s="588">
        <f ca="1">IFERROR(__xludf.DUMMYFUNCTION("IMPORTRANGE(""https://docs.google.com/spreadsheets/d/1XL5vhW3sbDhbH9Cz0tuDiY8C3ctxq1tqvaCgkFb8cCA/edit#gid=346597447"",""ศรีสะเกษ!M545"")"),0)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IFERROR(__xludf.DUMMYFUNCTION("IMPORTRANGE(""https://docs.google.com/spreadsheets/d/1XL5vhW3sbDhbH9Cz0tuDiY8C3ctxq1tqvaCgkFb8cCA/edit#gid=346597447"",""ศรีสะเกษ!I546"")"),0)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IFERROR(__xludf.DUMMYFUNCTION("IMPORTRANGE(""https://docs.google.com/spreadsheets/d/1XL5vhW3sbDhbH9Cz0tuDiY8C3ctxq1tqvaCgkFb8cCA/edit#gid=346597447"",""ศรีสะเกษ!L546"")"),0)</f>
        <v>0</v>
      </c>
      <c r="M651" s="571"/>
      <c r="N651" s="588">
        <f ca="1">IFERROR(__xludf.DUMMYFUNCTION("IMPORTRANGE(""https://docs.google.com/spreadsheets/d/1XL5vhW3sbDhbH9Cz0tuDiY8C3ctxq1tqvaCgkFb8cCA/edit#gid=346597447"",""ศรีสะเกษ!M546"")"),0)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IFERROR(__xludf.DUMMYFUNCTION("IMPORTRANGE(""https://docs.google.com/spreadsheets/d/1XL5vhW3sbDhbH9Cz0tuDiY8C3ctxq1tqvaCgkFb8cCA/edit#gid=346597447"",""ศรีสะเกษ!J547"")"),0)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IFERROR(__xludf.DUMMYFUNCTION("IMPORTRANGE(""https://docs.google.com/spreadsheets/d/1XL5vhW3sbDhbH9Cz0tuDiY8C3ctxq1tqvaCgkFb8cCA/edit#gid=346597447"",""ศรีสะเกษ!J548"")"),0)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IFERROR(__xludf.DUMMYFUNCTION("IMPORTRANGE(""https://docs.google.com/spreadsheets/d/1XL5vhW3sbDhbH9Cz0tuDiY8C3ctxq1tqvaCgkFb8cCA/edit#gid=346597447"",""ศรีสะเกษ!J550"")"),0)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IFERROR(__xludf.DUMMYFUNCTION("IMPORTRANGE(""https://docs.google.com/spreadsheets/d/1XL5vhW3sbDhbH9Cz0tuDiY8C3ctxq1tqvaCgkFb8cCA/edit#gid=346597447"",""ศรีสะเกษ!J551"")"),0)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IFERROR(__xludf.DUMMYFUNCTION("IMPORTRANGE(""https://docs.google.com/spreadsheets/d/1XL5vhW3sbDhbH9Cz0tuDiY8C3ctxq1tqvaCgkFb8cCA/edit#gid=346597447"",""ศรีสะเกษ!J552"")"),0)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IFERROR(__xludf.DUMMYFUNCTION("IMPORTRANGE(""https://docs.google.com/spreadsheets/d/1XL5vhW3sbDhbH9Cz0tuDiY8C3ctxq1tqvaCgkFb8cCA/edit#gid=346597447"",""ศรีสะเกษ!J553"")"),0)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IFERROR(__xludf.DUMMYFUNCTION("IMPORTRANGE(""https://docs.google.com/spreadsheets/d/1XL5vhW3sbDhbH9Cz0tuDiY8C3ctxq1tqvaCgkFb8cCA/edit#gid=346597447"",""ศรีสะเกษ!J554"")"),0)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IFERROR(__xludf.DUMMYFUNCTION("IMPORTRANGE(""https://docs.google.com/spreadsheets/d/1XL5vhW3sbDhbH9Cz0tuDiY8C3ctxq1tqvaCgkFb8cCA/edit#gid=346597447"",""ศรีสะเกษ!J555"")"),0)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IFERROR(__xludf.DUMMYFUNCTION("IMPORTRANGE(""https://docs.google.com/spreadsheets/d/1XL5vhW3sbDhbH9Cz0tuDiY8C3ctxq1tqvaCgkFb8cCA/edit#gid=346597447"",""ศรีสะเกษ!J556"")"),0)</f>
        <v>0</v>
      </c>
      <c r="K661" s="587"/>
      <c r="L661" s="572">
        <f ca="1">IFERROR(__xludf.DUMMYFUNCTION("IMPORTRANGE(""https://docs.google.com/spreadsheets/d/1XL5vhW3sbDhbH9Cz0tuDiY8C3ctxq1tqvaCgkFb8cCA/edit#gid=346597447"",""ศรีสะเกษ!L556"")"),0)</f>
        <v>0</v>
      </c>
      <c r="M661" s="571"/>
      <c r="N661" s="588">
        <f ca="1">IFERROR(__xludf.DUMMYFUNCTION("IMPORTRANGE(""https://docs.google.com/spreadsheets/d/1XL5vhW3sbDhbH9Cz0tuDiY8C3ctxq1tqvaCgkFb8cCA/edit#gid=346597447"",""ศรีสะเกษ!M556"")"),0)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IFERROR(__xludf.DUMMYFUNCTION("IMPORTRANGE(""https://docs.google.com/spreadsheets/d/1XL5vhW3sbDhbH9Cz0tuDiY8C3ctxq1tqvaCgkFb8cCA/edit#gid=346597447"",""ศรีสะเกษ!J557"")"),0)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IFERROR(__xludf.DUMMYFUNCTION("IMPORTRANGE(""https://docs.google.com/spreadsheets/d/1XL5vhW3sbDhbH9Cz0tuDiY8C3ctxq1tqvaCgkFb8cCA/edit#gid=346597447"",""ศรีสะเกษ!I558"")"),0)</f>
        <v>0</v>
      </c>
      <c r="J663" s="586">
        <f ca="1">IFERROR(__xludf.DUMMYFUNCTION("IMPORTRANGE(""https://docs.google.com/spreadsheets/d/1XL5vhW3sbDhbH9Cz0tuDiY8C3ctxq1tqvaCgkFb8cCA/edit#gid=346597447"",""ศรีสะเกษ!J558"")"),0)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IFERROR(__xludf.DUMMYFUNCTION("IMPORTRANGE(""https://docs.google.com/spreadsheets/d/1XL5vhW3sbDhbH9Cz0tuDiY8C3ctxq1tqvaCgkFb8cCA/edit#gid=346597447"",""ศรีสะเกษ!I560"")"),0)</f>
        <v>0</v>
      </c>
      <c r="J665" s="586">
        <f ca="1">IFERROR(__xludf.DUMMYFUNCTION("IMPORTRANGE(""https://docs.google.com/spreadsheets/d/1XL5vhW3sbDhbH9Cz0tuDiY8C3ctxq1tqvaCgkFb8cCA/edit#gid=346597447"",""ศรีสะเกษ!J560"")"),0)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IFERROR(__xludf.DUMMYFUNCTION("IMPORTRANGE(""https://docs.google.com/spreadsheets/d/1XL5vhW3sbDhbH9Cz0tuDiY8C3ctxq1tqvaCgkFb8cCA/edit#gid=346597447"",""ศรีสะเกษ!L560"")"),0)</f>
        <v>0</v>
      </c>
      <c r="M665" s="571"/>
      <c r="N665" s="588">
        <f ca="1">IFERROR(__xludf.DUMMYFUNCTION("IMPORTRANGE(""https://docs.google.com/spreadsheets/d/1XL5vhW3sbDhbH9Cz0tuDiY8C3ctxq1tqvaCgkFb8cCA/edit#gid=346597447"",""ศรีสะเกษ!M560"")"),0)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IFERROR(__xludf.DUMMYFUNCTION("IMPORTRANGE(""https://docs.google.com/spreadsheets/d/1XL5vhW3sbDhbH9Cz0tuDiY8C3ctxq1tqvaCgkFb8cCA/edit#gid=346597447"",""ศรีสะเกษ!J561"")"),0)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IFERROR(__xludf.DUMMYFUNCTION("IMPORTRANGE(""https://docs.google.com/spreadsheets/d/1XL5vhW3sbDhbH9Cz0tuDiY8C3ctxq1tqvaCgkFb8cCA/edit#gid=346597447"",""ศรีสะเกษ!J562"")"),0)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IFERROR(__xludf.DUMMYFUNCTION("IMPORTRANGE(""https://docs.google.com/spreadsheets/d/1XL5vhW3sbDhbH9Cz0tuDiY8C3ctxq1tqvaCgkFb8cCA/edit#gid=346597447"",""ศรีสะเกษ!I563"")"),0)</f>
        <v>0</v>
      </c>
      <c r="J668" s="586">
        <f ca="1">IFERROR(__xludf.DUMMYFUNCTION("IMPORTRANGE(""https://docs.google.com/spreadsheets/d/1XL5vhW3sbDhbH9Cz0tuDiY8C3ctxq1tqvaCgkFb8cCA/edit#gid=346597447"",""ศรีสะเกษ!J563"")"),0)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IFERROR(__xludf.DUMMYFUNCTION("IMPORTRANGE(""https://docs.google.com/spreadsheets/d/1XL5vhW3sbDhbH9Cz0tuDiY8C3ctxq1tqvaCgkFb8cCA/edit#gid=346597447"",""ศรีสะเกษ!L563"")"),0)</f>
        <v>0</v>
      </c>
      <c r="M668" s="571"/>
      <c r="N668" s="588">
        <f ca="1">IFERROR(__xludf.DUMMYFUNCTION("IMPORTRANGE(""https://docs.google.com/spreadsheets/d/1XL5vhW3sbDhbH9Cz0tuDiY8C3ctxq1tqvaCgkFb8cCA/edit#gid=346597447"",""ศรีสะเกษ!M563"")"),0)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IFERROR(__xludf.DUMMYFUNCTION("IMPORTRANGE(""https://docs.google.com/spreadsheets/d/1XL5vhW3sbDhbH9Cz0tuDiY8C3ctxq1tqvaCgkFb8cCA/edit#gid=346597447"",""ศรีสะเกษ!J564"")"),0)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IFERROR(__xludf.DUMMYFUNCTION("IMPORTRANGE(""https://docs.google.com/spreadsheets/d/1XL5vhW3sbDhbH9Cz0tuDiY8C3ctxq1tqvaCgkFb8cCA/edit#gid=346597447"",""ศรีสะเกษ!J565"")"),0)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IFERROR(__xludf.DUMMYFUNCTION("IMPORTRANGE(""https://docs.google.com/spreadsheets/d/1XL5vhW3sbDhbH9Cz0tuDiY8C3ctxq1tqvaCgkFb8cCA/edit#gid=346597447"",""ศรีสะเกษ!I566"")"),0)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IFERROR(__xludf.DUMMYFUNCTION("IMPORTRANGE(""https://docs.google.com/spreadsheets/d/1XL5vhW3sbDhbH9Cz0tuDiY8C3ctxq1tqvaCgkFb8cCA/edit#gid=346597447"",""ศรีสะเกษ!L566"")"),0)</f>
        <v>0</v>
      </c>
      <c r="M671" s="571"/>
      <c r="N671" s="588">
        <f ca="1">IFERROR(__xludf.DUMMYFUNCTION("IMPORTRANGE(""https://docs.google.com/spreadsheets/d/1XL5vhW3sbDhbH9Cz0tuDiY8C3ctxq1tqvaCgkFb8cCA/edit#gid=346597447"",""ศรีสะเกษ!M566"")"),0)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IFERROR(__xludf.DUMMYFUNCTION("IMPORTRANGE(""https://docs.google.com/spreadsheets/d/1XL5vhW3sbDhbH9Cz0tuDiY8C3ctxq1tqvaCgkFb8cCA/edit#gid=346597447"",""ศรีสะเกษ!J567"")"),0)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IFERROR(__xludf.DUMMYFUNCTION("IMPORTRANGE(""https://docs.google.com/spreadsheets/d/1XL5vhW3sbDhbH9Cz0tuDiY8C3ctxq1tqvaCgkFb8cCA/edit#gid=346597447"",""ศรีสะเกษ!J568"")"),0)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IFERROR(__xludf.DUMMYFUNCTION("IMPORTRANGE(""https://docs.google.com/spreadsheets/d/1XL5vhW3sbDhbH9Cz0tuDiY8C3ctxq1tqvaCgkFb8cCA/edit#gid=346597447"",""ศรีสะเกษ!J569"")"),0)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IFERROR(__xludf.DUMMYFUNCTION("IMPORTRANGE(""https://docs.google.com/spreadsheets/d/1XL5vhW3sbDhbH9Cz0tuDiY8C3ctxq1tqvaCgkFb8cCA/edit#gid=346597447"",""ศรีสะเกษ!J570"")"),0)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IFERROR(__xludf.DUMMYFUNCTION("IMPORTRANGE(""https://docs.google.com/spreadsheets/d/1XL5vhW3sbDhbH9Cz0tuDiY8C3ctxq1tqvaCgkFb8cCA/edit#gid=346597447"",""ศรีสะเกษ!J571"")"),0)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IFERROR(__xludf.DUMMYFUNCTION("IMPORTRANGE(""https://docs.google.com/spreadsheets/d/1XL5vhW3sbDhbH9Cz0tuDiY8C3ctxq1tqvaCgkFb8cCA/edit#gid=346597447"",""ศรีสะเกษ!J572"")"),0)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6987486</v>
      </c>
      <c r="M8" s="23">
        <f t="shared" ca="1" si="0"/>
        <v>4925133.33</v>
      </c>
      <c r="N8" s="23">
        <f t="shared" ca="1" si="0"/>
        <v>5703473.4699999997</v>
      </c>
      <c r="O8" s="22">
        <f t="shared" ref="O8:O16" ca="1" si="1">IF(L8&gt;0,N8*100/L8,0)</f>
        <v>81.624113021478678</v>
      </c>
      <c r="P8" s="22">
        <f t="shared" ref="P8:P16" ca="1" si="2">IF(M8&gt;0,N8*100/M8,0)</f>
        <v>115.80343287884148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6987486</v>
      </c>
      <c r="M10" s="30">
        <f t="shared" ca="1" si="4"/>
        <v>4925133.33</v>
      </c>
      <c r="N10" s="30">
        <f t="shared" ca="1" si="4"/>
        <v>5703473.4699999997</v>
      </c>
      <c r="O10" s="29">
        <f t="shared" ca="1" si="1"/>
        <v>81.624113021478678</v>
      </c>
      <c r="P10" s="29">
        <f t="shared" ca="1" si="2"/>
        <v>115.80343287884148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6759386</v>
      </c>
      <c r="M12" s="38">
        <f t="shared" ca="1" si="6"/>
        <v>4697033.33</v>
      </c>
      <c r="N12" s="38">
        <f t="shared" ca="1" si="6"/>
        <v>5507573.4699999997</v>
      </c>
      <c r="O12" s="38">
        <f t="shared" ca="1" si="1"/>
        <v>81.480381058279548</v>
      </c>
      <c r="P12" s="38">
        <f t="shared" ca="1" si="2"/>
        <v>117.25642726065135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4423486</v>
      </c>
      <c r="M14" s="38">
        <f t="shared" si="8"/>
        <v>0</v>
      </c>
      <c r="N14" s="38">
        <f t="shared" ca="1" si="8"/>
        <v>1696407.27</v>
      </c>
      <c r="O14" s="38">
        <f t="shared" ca="1" si="1"/>
        <v>38.35000879396928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228100</v>
      </c>
      <c r="M16" s="38">
        <f t="shared" ca="1" si="10"/>
        <v>228100</v>
      </c>
      <c r="N16" s="38">
        <f t="shared" ca="1" si="10"/>
        <v>195900</v>
      </c>
      <c r="O16" s="49">
        <f t="shared" ca="1" si="1"/>
        <v>85.883384480491017</v>
      </c>
      <c r="P16" s="49">
        <f t="shared" ca="1" si="2"/>
        <v>85.883384480491017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4706960</v>
      </c>
      <c r="M18" s="23">
        <f t="shared" ca="1" si="11"/>
        <v>4925133.33</v>
      </c>
      <c r="N18" s="23">
        <f t="shared" ca="1" si="11"/>
        <v>4007066.1999999997</v>
      </c>
      <c r="O18" s="22">
        <f t="shared" ref="O18:O20" ca="1" si="12">IF(L18&gt;0,N18*100/L18,0)</f>
        <v>85.130661828441291</v>
      </c>
      <c r="P18" s="22">
        <f t="shared" ref="P18:P26" ca="1" si="13">IF(M18&gt;0,N18*100/M18,0)</f>
        <v>81.35954768152439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4706960</v>
      </c>
      <c r="M20" s="30">
        <f t="shared" ca="1" si="15"/>
        <v>4925133.33</v>
      </c>
      <c r="N20" s="30">
        <f t="shared" ca="1" si="15"/>
        <v>4007066.1999999997</v>
      </c>
      <c r="O20" s="29">
        <f t="shared" ca="1" si="12"/>
        <v>85.130661828441291</v>
      </c>
      <c r="P20" s="29">
        <f t="shared" ca="1" si="13"/>
        <v>81.35954768152439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4478860</v>
      </c>
      <c r="M22" s="41">
        <f t="shared" ca="1" si="18"/>
        <v>4697033.33</v>
      </c>
      <c r="N22" s="38">
        <f t="shared" ca="1" si="18"/>
        <v>3811166.1999999997</v>
      </c>
      <c r="O22" s="38">
        <f t="shared" ca="1" si="17"/>
        <v>85.092327065369318</v>
      </c>
      <c r="P22" s="38">
        <f t="shared" ca="1" si="13"/>
        <v>81.139858549822122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228100</v>
      </c>
      <c r="M26" s="49">
        <f t="shared" ca="1" si="22"/>
        <v>228100</v>
      </c>
      <c r="N26" s="49">
        <f t="shared" ca="1" si="22"/>
        <v>195900</v>
      </c>
      <c r="O26" s="49">
        <f t="shared" ca="1" si="17"/>
        <v>85.883384480491017</v>
      </c>
      <c r="P26" s="49">
        <f t="shared" ca="1" si="13"/>
        <v>85.883384480491017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2280526</v>
      </c>
      <c r="M28" s="23">
        <f t="shared" si="23"/>
        <v>0</v>
      </c>
      <c r="N28" s="23">
        <f t="shared" ca="1" si="23"/>
        <v>1696407.27</v>
      </c>
      <c r="O28" s="22">
        <f t="shared" ref="O28:O30" ca="1" si="24">IF(L28&gt;0,N28*100/L28,0)</f>
        <v>74.386666497115144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2280526</v>
      </c>
      <c r="M30" s="30">
        <f t="shared" si="27"/>
        <v>0</v>
      </c>
      <c r="N30" s="30">
        <f t="shared" ca="1" si="27"/>
        <v>1696407.27</v>
      </c>
      <c r="O30" s="29">
        <f t="shared" ca="1" si="24"/>
        <v>74.386666497115144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2280526</v>
      </c>
      <c r="M32" s="38">
        <f t="shared" si="30"/>
        <v>0</v>
      </c>
      <c r="N32" s="38">
        <f t="shared" ca="1" si="30"/>
        <v>1696407.27</v>
      </c>
      <c r="O32" s="38">
        <f t="shared" ca="1" si="29"/>
        <v>74.386666497115144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2280526</v>
      </c>
      <c r="M34" s="38">
        <f t="shared" si="32"/>
        <v>0</v>
      </c>
      <c r="N34" s="38">
        <f t="shared" ca="1" si="32"/>
        <v>1696407.27</v>
      </c>
      <c r="O34" s="38">
        <f t="shared" ca="1" si="29"/>
        <v>74.386666497115144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4706960</v>
      </c>
      <c r="M37" s="54">
        <f t="shared" ca="1" si="33"/>
        <v>4925133.33</v>
      </c>
      <c r="N37" s="54">
        <f t="shared" ca="1" si="33"/>
        <v>4007066.1999999997</v>
      </c>
      <c r="O37" s="55">
        <f t="shared" ca="1" si="29"/>
        <v>85.130661828441291</v>
      </c>
      <c r="P37" s="55">
        <f t="shared" ca="1" si="25"/>
        <v>81.35954768152439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924200</v>
      </c>
      <c r="M41" s="78">
        <f t="shared" ca="1" si="34"/>
        <v>948200</v>
      </c>
      <c r="N41" s="78">
        <f t="shared" ca="1" si="34"/>
        <v>820257.28000000003</v>
      </c>
      <c r="O41" s="77">
        <f t="shared" ref="O41:O43" ca="1" si="35">IF(L41&gt;0,N41*100/L41,0)</f>
        <v>88.753222246267043</v>
      </c>
      <c r="P41" s="77">
        <f t="shared" ref="P41:P43" ca="1" si="36">IF(M41&gt;0,N41*100/M41,0)</f>
        <v>86.506779160514654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924200</v>
      </c>
      <c r="M43" s="78">
        <f t="shared" ca="1" si="38"/>
        <v>948200</v>
      </c>
      <c r="N43" s="78">
        <f t="shared" ca="1" si="38"/>
        <v>820257.28000000003</v>
      </c>
      <c r="O43" s="77">
        <f t="shared" ca="1" si="35"/>
        <v>88.753222246267043</v>
      </c>
      <c r="P43" s="77">
        <f t="shared" ca="1" si="36"/>
        <v>86.506779160514654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623">
        <f ca="1">IFERROR(__xludf.DUMMYFUNCTION("IMPORTRANGE(""https://docs.google.com/spreadsheets/d/1Yj_ptqi66GCucihVvJfMjLAmec39IyEx_6qawtMGysU/edit?usp=sharing"",""สบก!Q51"")"),812100)</f>
        <v>812100</v>
      </c>
      <c r="N45" s="623">
        <f ca="1">IFERROR(__xludf.DUMMYFUNCTION("IMPORTRANGE(""https://docs.google.com/spreadsheets/d/1Yj_ptqi66GCucihVvJfMjLAmec39IyEx_6qawtMGysU/edit?usp=sharing"",""สบก!R51"")"),716357.28)</f>
        <v>716357.28</v>
      </c>
      <c r="O45" s="624">
        <f ca="1">IF(L45&gt;0,N45*100/L45,0)</f>
        <v>90.896749143509709</v>
      </c>
      <c r="P45" s="624">
        <f ca="1">IF(M45&gt;0,N45*100/M45,0)</f>
        <v>88.210476542297741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IFERROR(__xludf.DUMMYFUNCTION("IMPORTRANGE(""https://docs.google.com/spreadsheets/d/1Yj_ptqi66GCucihVvJfMjLAmec39IyEx_6qawtMGysU/edit?usp=sharing"",""สบก!M51"")"),788100)</f>
        <v>788100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IFERROR(__xludf.DUMMYFUNCTION("IMPORTRANGE(""https://docs.google.com/spreadsheets/d/1Yj_ptqi66GCucihVvJfMjLAmec39IyEx_6qawtMGysU/edit?usp=sharing"",""สบก!N51"")"),0)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IFERROR(__xludf.DUMMYFUNCTION("IMPORTRANGE(""https://docs.google.com/spreadsheets/d/1Yj_ptqi66GCucihVvJfMjLAmec39IyEx_6qawtMGysU/edit?usp=sharing"",""สบก!O51"")"),136100)</f>
        <v>136100</v>
      </c>
      <c r="M49" s="626">
        <f ca="1">L49</f>
        <v>136100</v>
      </c>
      <c r="N49" s="623">
        <f ca="1">IFERROR(__xludf.DUMMYFUNCTION("IMPORTRANGE(""https://docs.google.com/spreadsheets/d/1Yj_ptqi66GCucihVvJfMjLAmec39IyEx_6qawtMGysU/edit?usp=sharing"",""สบก!S51"")"),103900)</f>
        <v>103900</v>
      </c>
      <c r="O49" s="626">
        <f ca="1">IF(L49&gt;0,N49*100/L49,0)</f>
        <v>76.340925789860393</v>
      </c>
      <c r="P49" s="626">
        <f ca="1">IF(M49&gt;0,N49*100/M49,0)</f>
        <v>76.340925789860393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828963.33</v>
      </c>
      <c r="N53" s="121">
        <f t="shared" ca="1" si="39"/>
        <v>753072.33</v>
      </c>
      <c r="O53" s="120">
        <f t="shared" ref="O53:O55" ca="1" si="40">IF(L53&gt;0,N53*100/L53,0)</f>
        <v>97.447247670807457</v>
      </c>
      <c r="P53" s="120">
        <f t="shared" ref="P53:P55" ca="1" si="41">IF(M53&gt;0,N53*100/M53,0)</f>
        <v>90.845071518422898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828963.33</v>
      </c>
      <c r="N55" s="121">
        <f t="shared" ca="1" si="43"/>
        <v>753072.33</v>
      </c>
      <c r="O55" s="120">
        <f t="shared" ca="1" si="40"/>
        <v>97.447247670807457</v>
      </c>
      <c r="P55" s="120">
        <f t="shared" ca="1" si="41"/>
        <v>90.845071518422898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623">
        <f ca="1">IFERROR(__xludf.DUMMYFUNCTION("IMPORTRANGE(""https://docs.google.com/spreadsheets/d/1Yj_ptqi66GCucihVvJfMjLAmec39IyEx_6qawtMGysU/edit?usp=sharing"",""สบก!Z51"")"),828963.33)</f>
        <v>828963.33</v>
      </c>
      <c r="N57" s="623">
        <f ca="1">IFERROR(__xludf.DUMMYFUNCTION("IMPORTRANGE(""https://docs.google.com/spreadsheets/d/1Yj_ptqi66GCucihVvJfMjLAmec39IyEx_6qawtMGysU/edit?usp=sharing"",""สบก!AA51"")"),753072.33)</f>
        <v>753072.33</v>
      </c>
      <c r="O57" s="624">
        <f ca="1">IF(L57&gt;0,N57*100/L57,0)</f>
        <v>97.447247670807457</v>
      </c>
      <c r="P57" s="624">
        <f ca="1">IF(M57&gt;0,N57*100/M57,0)</f>
        <v>90.845071518422898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IFERROR(__xludf.DUMMYFUNCTION("IMPORTRANGE(""https://docs.google.com/spreadsheets/d/1Yj_ptqi66GCucihVvJfMjLAmec39IyEx_6qawtMGysU/edit?usp=sharing"",""สบก!V51"")"),772800)</f>
        <v>772800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IFERROR(__xludf.DUMMYFUNCTION("IMPORTRANGE(""https://docs.google.com/spreadsheets/d/1Yj_ptqi66GCucihVvJfMjLAmec39IyEx_6qawtMGysU/edit?usp=sharing"",""สบก!W51"")"),0)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IFERROR(__xludf.DUMMYFUNCTION("IMPORTRANGE(""https://docs.google.com/spreadsheets/d/1Yj_ptqi66GCucihVvJfMjLAmec39IyEx_6qawtMGysU/edit?usp=sharing"",""สบก!X51"")"),0)</f>
        <v>0</v>
      </c>
      <c r="M61" s="626"/>
      <c r="N61" s="623">
        <f ca="1">IFERROR(__xludf.DUMMYFUNCTION("IMPORTRANGE(""https://docs.google.com/spreadsheets/d/1Yj_ptqi66GCucihVvJfMjLAmec39IyEx_6qawtMGysU/edit?usp=sharing"",""สบก!AB51"")"),0)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583620</v>
      </c>
      <c r="N66" s="152">
        <f t="shared" ca="1" si="45"/>
        <v>386647.86</v>
      </c>
      <c r="O66" s="151">
        <f t="shared" ref="O66:O68" ca="1" si="46">IF(L66&gt;0,N66*100/L66,0)</f>
        <v>67.01002772963605</v>
      </c>
      <c r="P66" s="151">
        <f t="shared" ref="P66:P68" ca="1" si="47">IF(M66&gt;0,N66*100/M66,0)</f>
        <v>66.249933175696512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583620</v>
      </c>
      <c r="N68" s="157">
        <f t="shared" ca="1" si="49"/>
        <v>386647.86</v>
      </c>
      <c r="O68" s="156">
        <f t="shared" ca="1" si="46"/>
        <v>67.01002772963605</v>
      </c>
      <c r="P68" s="156">
        <f t="shared" ca="1" si="47"/>
        <v>66.249933175696512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577000</v>
      </c>
      <c r="M70" s="627">
        <f ca="1">IFERROR(__xludf.DUMMYFUNCTION("IMPORTRANGE(""https://docs.google.com/spreadsheets/d/1Yj_ptqi66GCucihVvJfMjLAmec39IyEx_6qawtMGysU/edit?usp=sharing"",""สบก!AI51"")"),583620)</f>
        <v>583620</v>
      </c>
      <c r="N70" s="628">
        <f ca="1">IFERROR(__xludf.DUMMYFUNCTION("IMPORTRANGE(""https://docs.google.com/spreadsheets/d/1Yj_ptqi66GCucihVvJfMjLAmec39IyEx_6qawtMGysU/edit?usp=sharing"",""สบก!AJ51"")"),386647.86)</f>
        <v>386647.86</v>
      </c>
      <c r="O70" s="169">
        <f ca="1">IF(L70&gt;0,N70*100/L70,0)</f>
        <v>67.01002772963605</v>
      </c>
      <c r="P70" s="169">
        <f ca="1">IF(M70&gt;0,N70*100/M70,0)</f>
        <v>66.249933175696512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IFERROR(__xludf.DUMMYFUNCTION("IMPORTRANGE(""https://docs.google.com/spreadsheets/d/1Yj_ptqi66GCucihVvJfMjLAmec39IyEx_6qawtMGysU/edit?usp=sharing"",""สบก!AF51"")"),372000)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IFERROR(__xludf.DUMMYFUNCTION("IMPORTRANGE(""https://docs.google.com/spreadsheets/d/1Yj_ptqi66GCucihVvJfMjLAmec39IyEx_6qawtMGysU/edit?usp=sharing"",""สบก!AG51"")"),0)</f>
        <v>0</v>
      </c>
      <c r="M74" s="626"/>
      <c r="N74" s="623">
        <f ca="1">IFERROR(__xludf.DUMMYFUNCTION("IMPORTRANGE(""https://docs.google.com/spreadsheets/d/1Yj_ptqi66GCucihVvJfMjLAmec39IyEx_6qawtMGysU/edit?usp=sharing"",""สบก!AK51"")"),0)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IFERROR(__xludf.DUMMYFUNCTION("IMPORTRANGE(""https://docs.google.com/spreadsheets/d/1XL5vhW3sbDhbH9Cz0tuDiY8C3ctxq1tqvaCgkFb8cCA/edit?usp=sharing"",""สกลนคร!I28"")"),1)</f>
        <v>1</v>
      </c>
      <c r="J88" s="204">
        <f ca="1">IFERROR(__xludf.DUMMYFUNCTION("IMPORTRANGE(""https://docs.google.com/spreadsheets/d/1XL5vhW3sbDhbH9Cz0tuDiY8C3ctxq1tqvaCgkFb8cCA/edit?usp=sharing"",""สกลนคร!J28"")"),0)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163920</v>
      </c>
      <c r="O94" s="151">
        <f t="shared" ref="O94:O96" ca="1" si="53">IF(L94&gt;0,N94*100/L94,0)</f>
        <v>76.562354040168145</v>
      </c>
      <c r="P94" s="151">
        <f t="shared" ref="P94:P96" ca="1" si="54">IF(M94&gt;0,N94*100/M94,0)</f>
        <v>76.562354040168145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163920</v>
      </c>
      <c r="O96" s="156">
        <f t="shared" ca="1" si="53"/>
        <v>76.562354040168145</v>
      </c>
      <c r="P96" s="156">
        <f t="shared" ca="1" si="54"/>
        <v>76.562354040168145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IFERROR(__xludf.DUMMYFUNCTION("IMPORTRANGE(""https://docs.google.com/spreadsheets/d/1Yj_ptqi66GCucihVvJfMjLAmec39IyEx_6qawtMGysU/edit?usp=sharing"",""สบก!AR51"")"),122100)</f>
        <v>122100</v>
      </c>
      <c r="N98" s="628">
        <f ca="1">IFERROR(__xludf.DUMMYFUNCTION("IMPORTRANGE(""https://docs.google.com/spreadsheets/d/1Yj_ptqi66GCucihVvJfMjLAmec39IyEx_6qawtMGysU/edit?usp=sharing"",""สบก!AS51"")"),71920)</f>
        <v>71920</v>
      </c>
      <c r="O98" s="169">
        <f ca="1">IF(L98&gt;0,N98*100/L98,0)</f>
        <v>58.9025389025389</v>
      </c>
      <c r="P98" s="169">
        <f ca="1">IF(M98&gt;0,N98*100/M98,0)</f>
        <v>58.9025389025389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IFERROR(__xludf.DUMMYFUNCTION("IMPORTRANGE(""https://docs.google.com/spreadsheets/d/1Yj_ptqi66GCucihVvJfMjLAmec39IyEx_6qawtMGysU/edit?usp=sharing"",""สบก!AP51"")"),92000)</f>
        <v>92000</v>
      </c>
      <c r="M102" s="626">
        <f ca="1">L102</f>
        <v>92000</v>
      </c>
      <c r="N102" s="623">
        <f ca="1">IFERROR(__xludf.DUMMYFUNCTION("IMPORTRANGE(""https://docs.google.com/spreadsheets/d/1Yj_ptqi66GCucihVvJfMjLAmec39IyEx_6qawtMGysU/edit?usp=sharing"",""สบก!AT51"")"),92000)</f>
        <v>92000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IFERROR(__xludf.DUMMYFUNCTION("IMPORTRANGE(""https://docs.google.com/spreadsheets/d/1Yj_ptqi66GCucihVvJfMjLAmec39IyEx_6qawtMGysU/edit?usp=sharing"",""สบก!BA51"")"),0)</f>
        <v>0</v>
      </c>
      <c r="N122" s="628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IFERROR(__xludf.DUMMYFUNCTION("IMPORTRANGE(""https://docs.google.com/spreadsheets/d/1Yj_ptqi66GCucihVvJfMjLAmec39IyEx_6qawtMGysU/edit?usp=sharing"",""สบก!AY51"")"),0)</f>
        <v>0</v>
      </c>
      <c r="M126" s="626"/>
      <c r="N126" s="623">
        <f ca="1">IFERROR(__xludf.DUMMYFUNCTION("IMPORTRANGE(""https://docs.google.com/spreadsheets/d/1Yj_ptqi66GCucihVvJfMjLAmec39IyEx_6qawtMGysU/edit?usp=sharing"",""สบก!BC51"")"),0)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619500</v>
      </c>
      <c r="M140" s="152">
        <f t="shared" ca="1" si="64"/>
        <v>627500</v>
      </c>
      <c r="N140" s="152">
        <f t="shared" ca="1" si="64"/>
        <v>495595.23</v>
      </c>
      <c r="O140" s="151">
        <f t="shared" ref="O140:O142" ca="1" si="65">IF(L140&gt;0,N140*100/L140,0)</f>
        <v>79.999230024213077</v>
      </c>
      <c r="P140" s="151">
        <f t="shared" ref="P140:P142" ca="1" si="66">IF(M140&gt;0,N140*100/M140,0)</f>
        <v>78.979319521912345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619500</v>
      </c>
      <c r="M142" s="157">
        <f t="shared" ca="1" si="68"/>
        <v>627500</v>
      </c>
      <c r="N142" s="157">
        <f t="shared" ca="1" si="68"/>
        <v>495595.23</v>
      </c>
      <c r="O142" s="156">
        <f t="shared" ca="1" si="65"/>
        <v>79.999230024213077</v>
      </c>
      <c r="P142" s="156">
        <f t="shared" ca="1" si="66"/>
        <v>78.979319521912345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619500</v>
      </c>
      <c r="M144" s="627">
        <f ca="1">IFERROR(__xludf.DUMMYFUNCTION("IMPORTRANGE(""https://docs.google.com/spreadsheets/d/1Yj_ptqi66GCucihVvJfMjLAmec39IyEx_6qawtMGysU/edit?usp=sharing"",""สบก!BJ51"")"),627500)</f>
        <v>627500</v>
      </c>
      <c r="N144" s="628">
        <f ca="1">IFERROR(__xludf.DUMMYFUNCTION("IMPORTRANGE(""https://docs.google.com/spreadsheets/d/1Yj_ptqi66GCucihVvJfMjLAmec39IyEx_6qawtMGysU/edit?usp=sharing"",""สบก!BK51"")"),495595.23)</f>
        <v>495595.23</v>
      </c>
      <c r="O144" s="169">
        <f ca="1">IF(L144&gt;0,N144*100/L144,0)</f>
        <v>79.999230024213077</v>
      </c>
      <c r="P144" s="169">
        <f ca="1">IF(M144&gt;0,N144*100/M144,0)</f>
        <v>78.979319521912345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IFERROR(__xludf.DUMMYFUNCTION("IMPORTRANGE(""https://docs.google.com/spreadsheets/d/1Yj_ptqi66GCucihVvJfMjLAmec39IyEx_6qawtMGysU/edit?usp=sharing"",""สบก!BG51"")"),355500)</f>
        <v>355500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IFERROR(__xludf.DUMMYFUNCTION("IMPORTRANGE(""https://docs.google.com/spreadsheets/d/1Yj_ptqi66GCucihVvJfMjLAmec39IyEx_6qawtMGysU/edit?usp=sharing"",""สบก!BH51"")"),0)</f>
        <v>0</v>
      </c>
      <c r="M148" s="626"/>
      <c r="N148" s="623">
        <f ca="1">IFERROR(__xludf.DUMMYFUNCTION("IMPORTRANGE(""https://docs.google.com/spreadsheets/d/1Yj_ptqi66GCucihVvJfMjLAmec39IyEx_6qawtMGysU/edit?usp=sharing"",""สบก!BL51"")"),0)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IFERROR(__xludf.DUMMYFUNCTION("IMPORTRANGE(""https://docs.google.com/spreadsheets/d/1XL5vhW3sbDhbH9Cz0tuDiY8C3ctxq1tqvaCgkFb8cCA/edit?usp=sharing"",""สกลนคร!J84"")"),254)</f>
        <v>254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IFERROR(__xludf.DUMMYFUNCTION("IMPORTRANGE(""https://docs.google.com/spreadsheets/d/1XL5vhW3sbDhbH9Cz0tuDiY8C3ctxq1tqvaCgkFb8cCA/edit?usp=sharing"",""สกลนคร!J85"")"),254)</f>
        <v>254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IFERROR(__xludf.DUMMYFUNCTION("IMPORTRANGE(""https://docs.google.com/spreadsheets/d/1XL5vhW3sbDhbH9Cz0tuDiY8C3ctxq1tqvaCgkFb8cCA/edit?usp=sharing"",""สกลนคร!I89"")"),3)</f>
        <v>3</v>
      </c>
      <c r="J164" s="285">
        <f ca="1">IFERROR(__xludf.DUMMYFUNCTION("IMPORTRANGE(""https://docs.google.com/spreadsheets/d/1XL5vhW3sbDhbH9Cz0tuDiY8C3ctxq1tqvaCgkFb8cCA/edit?usp=sharing"",""สกลนคร!J89"")"),3)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IFERROR(__xludf.DUMMYFUNCTION("IMPORTRANGE(""https://docs.google.com/spreadsheets/d/1XL5vhW3sbDhbH9Cz0tuDiY8C3ctxq1tqvaCgkFb8cCA/edit?usp=sharing"",""สกลนคร!I101"")"),0)</f>
        <v>0</v>
      </c>
      <c r="J176" s="285">
        <f ca="1">IFERROR(__xludf.DUMMYFUNCTION("IMPORTRANGE(""https://docs.google.com/spreadsheets/d/1XL5vhW3sbDhbH9Cz0tuDiY8C3ctxq1tqvaCgkFb8cCA/edit?usp=sharing"",""สกลนคร!J101"")"),0)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IFERROR(__xludf.DUMMYFUNCTION("IMPORTRANGE(""https://docs.google.com/spreadsheets/d/1XL5vhW3sbDhbH9Cz0tuDiY8C3ctxq1tqvaCgkFb8cCA/edit?usp=sharing"",""สกลนคร!I114"")"),12800)</f>
        <v>12800</v>
      </c>
      <c r="J189" s="285">
        <f ca="1">IFERROR(__xludf.DUMMYFUNCTION("IMPORTRANGE(""https://docs.google.com/spreadsheets/d/1XL5vhW3sbDhbH9Cz0tuDiY8C3ctxq1tqvaCgkFb8cCA/edit?usp=sharing"",""สกลนคร!J114"")"),12800)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IFERROR(__xludf.DUMMYFUNCTION("IMPORTRANGE(""https://docs.google.com/spreadsheets/d/1XL5vhW3sbDhbH9Cz0tuDiY8C3ctxq1tqvaCgkFb8cCA/edit?usp=sharing"",""สกลนคร!J128"")"),0)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IFERROR(__xludf.DUMMYFUNCTION("IMPORTRANGE(""https://docs.google.com/spreadsheets/d/1XL5vhW3sbDhbH9Cz0tuDiY8C3ctxq1tqvaCgkFb8cCA/edit?usp=sharing"",""สกลนคร!I129"")"),50)</f>
        <v>50</v>
      </c>
      <c r="J204" s="285">
        <f ca="1">IFERROR(__xludf.DUMMYFUNCTION("IMPORTRANGE(""https://docs.google.com/spreadsheets/d/1XL5vhW3sbDhbH9Cz0tuDiY8C3ctxq1tqvaCgkFb8cCA/edit?usp=sharing"",""สกลนคร!J129"")"),50)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IFERROR(__xludf.DUMMYFUNCTION("IMPORTRANGE(""https://docs.google.com/spreadsheets/d/1XL5vhW3sbDhbH9Cz0tuDiY8C3ctxq1tqvaCgkFb8cCA/edit?usp=sharing"",""สกลนคร!J140"")"),50)</f>
        <v>50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IFERROR(__xludf.DUMMYFUNCTION("IMPORTRANGE(""https://docs.google.com/spreadsheets/d/1Yj_ptqi66GCucihVvJfMjLAmec39IyEx_6qawtMGysU/edit?usp=sharing"",""สบก!BS51"")"),20210)</f>
        <v>20210</v>
      </c>
      <c r="N224" s="628">
        <f ca="1">IFERROR(__xludf.DUMMYFUNCTION("IMPORTRANGE(""https://docs.google.com/spreadsheets/d/1Yj_ptqi66GCucihVvJfMjLAmec39IyEx_6qawtMGysU/edit?usp=sharing"",""สบก!BT51"")"),20210)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IFERROR(__xludf.DUMMYFUNCTION("IMPORTRANGE(""https://docs.google.com/spreadsheets/d/1Yj_ptqi66GCucihVvJfMjLAmec39IyEx_6qawtMGysU/edit?usp=sharing"",""สบก!BP51"")"),20210)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IFERROR(__xludf.DUMMYFUNCTION("IMPORTRANGE(""https://docs.google.com/spreadsheets/d/1Yj_ptqi66GCucihVvJfMjLAmec39IyEx_6qawtMGysU/edit?usp=sharing"",""สบก!BQ51"")"),0)</f>
        <v>0</v>
      </c>
      <c r="M228" s="626"/>
      <c r="N228" s="623">
        <f ca="1">IFERROR(__xludf.DUMMYFUNCTION("IMPORTRANGE(""https://docs.google.com/spreadsheets/d/1Yj_ptqi66GCucihVvJfMjLAmec39IyEx_6qawtMGysU/edit?usp=sharing"",""สบก!BU51"")"),0)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IFERROR(__xludf.DUMMYFUNCTION("IMPORTRANGE(""https://docs.google.com/spreadsheets/d/1XL5vhW3sbDhbH9Cz0tuDiY8C3ctxq1tqvaCgkFb8cCA/edit?usp=sharing"",""สกลนคร!J157"")"),0)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IFERROR(__xludf.DUMMYFUNCTION("IMPORTRANGE(""https://docs.google.com/spreadsheets/d/1XL5vhW3sbDhbH9Cz0tuDiY8C3ctxq1tqvaCgkFb8cCA/edit?usp=sharing"",""สกลนคร!I169"")"),25)</f>
        <v>25</v>
      </c>
      <c r="J249" s="317">
        <f ca="1">IFERROR(__xludf.DUMMYFUNCTION("IMPORTRANGE(""https://docs.google.com/spreadsheets/d/1XL5vhW3sbDhbH9Cz0tuDiY8C3ctxq1tqvaCgkFb8cCA/edit?usp=sharing"",""สกลนคร!J169"")"),25)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IFERROR(__xludf.DUMMYFUNCTION("IMPORTRANGE(""https://docs.google.com/spreadsheets/d/1Yj_ptqi66GCucihVvJfMjLAmec39IyEx_6qawtMGysU/edit?usp=sharing"",""สบก!CB51"")"),89000)</f>
        <v>89000</v>
      </c>
      <c r="N254" s="628">
        <f ca="1">IFERROR(__xludf.DUMMYFUNCTION("IMPORTRANGE(""https://docs.google.com/spreadsheets/d/1Yj_ptqi66GCucihVvJfMjLAmec39IyEx_6qawtMGysU/edit?usp=sharing"",""สบก!CC51"")"),89000)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IFERROR(__xludf.DUMMYFUNCTION("IMPORTRANGE(""https://docs.google.com/spreadsheets/d/1Yj_ptqi66GCucihVvJfMjLAmec39IyEx_6qawtMGysU/edit?usp=sharing"",""สบก!BZ51"")"),0)</f>
        <v>0</v>
      </c>
      <c r="M258" s="626"/>
      <c r="N258" s="623">
        <f ca="1">IFERROR(__xludf.DUMMYFUNCTION("IMPORTRANGE(""https://docs.google.com/spreadsheets/d/1Yj_ptqi66GCucihVvJfMjLAmec39IyEx_6qawtMGysU/edit?usp=sharing"",""สบก!CD51"")"),0)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IFERROR(__xludf.DUMMYFUNCTION("IMPORTRANGE(""https://docs.google.com/spreadsheets/d/1XL5vhW3sbDhbH9Cz0tuDiY8C3ctxq1tqvaCgkFb8cCA/edit?usp=sharing"",""สกลนคร!J184"")"),0)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IFERROR(__xludf.DUMMYFUNCTION("IMPORTRANGE(""https://docs.google.com/spreadsheets/d/1XL5vhW3sbDhbH9Cz0tuDiY8C3ctxq1tqvaCgkFb8cCA/edit?usp=sharing"",""สกลนคร!I185"")"),0)</f>
        <v>0</v>
      </c>
      <c r="J270" s="317">
        <f ca="1">IFERROR(__xludf.DUMMYFUNCTION("IMPORTRANGE(""https://docs.google.com/spreadsheets/d/1XL5vhW3sbDhbH9Cz0tuDiY8C3ctxq1tqvaCgkFb8cCA/edit?usp=sharing"",""สกลนคร!J185"")"),0)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IFERROR(__xludf.DUMMYFUNCTION("IMPORTRANGE(""https://docs.google.com/spreadsheets/d/1Yj_ptqi66GCucihVvJfMjLAmec39IyEx_6qawtMGysU/edit?usp=sharing"",""สบก!CK51"")"),0)</f>
        <v>0</v>
      </c>
      <c r="N275" s="628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IFERROR(__xludf.DUMMYFUNCTION("IMPORTRANGE(""https://docs.google.com/spreadsheets/d/1Yj_ptqi66GCucihVvJfMjLAmec39IyEx_6qawtMGysU/edit?usp=sharing"",""สบก!CI51"")"),0)</f>
        <v>0</v>
      </c>
      <c r="M279" s="626"/>
      <c r="N279" s="623">
        <f ca="1">IFERROR(__xludf.DUMMYFUNCTION("IMPORTRANGE(""https://docs.google.com/spreadsheets/d/1Yj_ptqi66GCucihVvJfMjLAmec39IyEx_6qawtMGysU/edit?usp=sharing"",""สบก!CM51"")"),0)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IFERROR(__xludf.DUMMYFUNCTION("IMPORTRANGE(""https://docs.google.com/spreadsheets/d/1XL5vhW3sbDhbH9Cz0tuDiY8C3ctxq1tqvaCgkFb8cCA/edit?usp=sharing"",""สกลนคร!I199"")"),0)</f>
        <v>0</v>
      </c>
      <c r="J289" s="317">
        <f ca="1">IFERROR(__xludf.DUMMYFUNCTION("IMPORTRANGE(""https://docs.google.com/spreadsheets/d/1XL5vhW3sbDhbH9Cz0tuDiY8C3ctxq1tqvaCgkFb8cCA/edit?usp=sharing"",""สกลนคร!J199"")"),0)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IFERROR(__xludf.DUMMYFUNCTION("IMPORTRANGE(""https://docs.google.com/spreadsheets/d/1Yj_ptqi66GCucihVvJfMjLAmec39IyEx_6qawtMGysU/edit?usp=sharing"",""สบก!CT51"")"),0)</f>
        <v>0</v>
      </c>
      <c r="N294" s="628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IFERROR(__xludf.DUMMYFUNCTION("IMPORTRANGE(""https://docs.google.com/spreadsheets/d/1Yj_ptqi66GCucihVvJfMjLAmec39IyEx_6qawtMGysU/edit?usp=sharing"",""สบก!CR51"")"),0)</f>
        <v>0</v>
      </c>
      <c r="M298" s="626"/>
      <c r="N298" s="623">
        <f ca="1">IFERROR(__xludf.DUMMYFUNCTION("IMPORTRANGE(""https://docs.google.com/spreadsheets/d/1Yj_ptqi66GCucihVvJfMjLAmec39IyEx_6qawtMGysU/edit?usp=sharing"",""สบก!CV51"")"),0)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IFERROR(__xludf.DUMMYFUNCTION("IMPORTRANGE(""https://docs.google.com/spreadsheets/d/1XL5vhW3sbDhbH9Cz0tuDiY8C3ctxq1tqvaCgkFb8cCA/edit?usp=sharing"",""สกลนคร!I214"")"),0)</f>
        <v>0</v>
      </c>
      <c r="J309" s="334">
        <f ca="1">IFERROR(__xludf.DUMMYFUNCTION("IMPORTRANGE(""https://docs.google.com/spreadsheets/d/1XL5vhW3sbDhbH9Cz0tuDiY8C3ctxq1tqvaCgkFb8cCA/edit?usp=sharing"",""สกลนคร!J214"")"),0)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IFERROR(__xludf.DUMMYFUNCTION("IMPORTRANGE(""https://docs.google.com/spreadsheets/d/1Yj_ptqi66GCucihVvJfMjLAmec39IyEx_6qawtMGysU/edit?usp=sharing"",""สบก!DC51"")"),0)</f>
        <v>0</v>
      </c>
      <c r="N314" s="628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IFERROR(__xludf.DUMMYFUNCTION("IMPORTRANGE(""https://docs.google.com/spreadsheets/d/1Yj_ptqi66GCucihVvJfMjLAmec39IyEx_6qawtMGysU/edit?usp=sharing"",""สบก!DA51"")"),0)</f>
        <v>0</v>
      </c>
      <c r="M318" s="626"/>
      <c r="N318" s="623">
        <f ca="1">IFERROR(__xludf.DUMMYFUNCTION("IMPORTRANGE(""https://docs.google.com/spreadsheets/d/1Yj_ptqi66GCucihVvJfMjLAmec39IyEx_6qawtMGysU/edit?usp=sharing"",""สบก!DE51"")"),0)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IFERROR(__xludf.DUMMYFUNCTION("IMPORTRANGE(""https://docs.google.com/spreadsheets/d/1XL5vhW3sbDhbH9Cz0tuDiY8C3ctxq1tqvaCgkFb8cCA/edit?usp=sharing"",""สกลนคร!I228"")"),1360)</f>
        <v>1360</v>
      </c>
      <c r="J328" s="340">
        <f ca="1">IFERROR(__xludf.DUMMYFUNCTION("IMPORTRANGE(""https://docs.google.com/spreadsheets/d/1XL5vhW3sbDhbH9Cz0tuDiY8C3ctxq1tqvaCgkFb8cCA/edit?usp=sharing"",""สกลนคร!J228"")"),594)</f>
        <v>594</v>
      </c>
      <c r="K328" s="318">
        <f ca="1">IF(I328&gt;0,J328*100/I328,0)</f>
        <v>43.676470588235297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1490150</v>
      </c>
      <c r="M329" s="152">
        <f t="shared" ca="1" si="98"/>
        <v>1613540</v>
      </c>
      <c r="N329" s="152">
        <f t="shared" ca="1" si="98"/>
        <v>1278363.5</v>
      </c>
      <c r="O329" s="151">
        <f t="shared" ref="O329:O331" ca="1" si="99">IF(L329&gt;0,N329*100/L329,0)</f>
        <v>85.787571720967691</v>
      </c>
      <c r="P329" s="151">
        <f t="shared" ref="P329:P331" ca="1" si="100">IF(M329&gt;0,N329*100/M329,0)</f>
        <v>79.227258078510602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1490150</v>
      </c>
      <c r="M331" s="157">
        <f t="shared" ca="1" si="102"/>
        <v>1613540</v>
      </c>
      <c r="N331" s="157">
        <f t="shared" ca="1" si="102"/>
        <v>1278363.5</v>
      </c>
      <c r="O331" s="156">
        <f t="shared" ca="1" si="99"/>
        <v>85.787571720967691</v>
      </c>
      <c r="P331" s="156">
        <f t="shared" ca="1" si="100"/>
        <v>79.227258078510602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1490150</v>
      </c>
      <c r="M333" s="627">
        <f ca="1">IFERROR(__xludf.DUMMYFUNCTION("IMPORTRANGE(""https://docs.google.com/spreadsheets/d/1Yj_ptqi66GCucihVvJfMjLAmec39IyEx_6qawtMGysU/edit?usp=sharing"",""สบก!DL51"")"),1613540)</f>
        <v>1613540</v>
      </c>
      <c r="N333" s="628">
        <f ca="1">IFERROR(__xludf.DUMMYFUNCTION("IMPORTRANGE(""https://docs.google.com/spreadsheets/d/1Yj_ptqi66GCucihVvJfMjLAmec39IyEx_6qawtMGysU/edit?usp=sharing"",""สบก!DM51"")"),1278363.5)</f>
        <v>1278363.5</v>
      </c>
      <c r="O333" s="169">
        <f ca="1">IF(L333&gt;0,N333*100/L333,0)</f>
        <v>85.787571720967691</v>
      </c>
      <c r="P333" s="169">
        <f ca="1">IF(M333&gt;0,N333*100/M333,0)</f>
        <v>79.227258078510602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IFERROR(__xludf.DUMMYFUNCTION("IMPORTRANGE(""https://docs.google.com/spreadsheets/d/1Yj_ptqi66GCucihVvJfMjLAmec39IyEx_6qawtMGysU/edit?usp=sharing"",""สบก!DI51"")"),1184150)</f>
        <v>1184150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IFERROR(__xludf.DUMMYFUNCTION("IMPORTRANGE(""https://docs.google.com/spreadsheets/d/1Yj_ptqi66GCucihVvJfMjLAmec39IyEx_6qawtMGysU/edit?usp=sharing"",""สบก!DJ51"")"),0)</f>
        <v>0</v>
      </c>
      <c r="M337" s="626"/>
      <c r="N337" s="623">
        <f ca="1">IFERROR(__xludf.DUMMYFUNCTION("IMPORTRANGE(""https://docs.google.com/spreadsheets/d/1Yj_ptqi66GCucihVvJfMjLAmec39IyEx_6qawtMGysU/edit?usp=sharing"",""สบก!DN51"")"),0)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IFERROR(__xludf.DUMMYFUNCTION("IMPORTRANGE(""https://docs.google.com/spreadsheets/d/1XL5vhW3sbDhbH9Cz0tuDiY8C3ctxq1tqvaCgkFb8cCA/edit?usp=sharing"",""สกลนคร!J234"")"),981)</f>
        <v>981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IFERROR(__xludf.DUMMYFUNCTION("IMPORTRANGE(""https://docs.google.com/spreadsheets/d/1XL5vhW3sbDhbH9Cz0tuDiY8C3ctxq1tqvaCgkFb8cCA/edit?usp=sharing"",""สกลนคร!J235"")"),7482.29)</f>
        <v>7482.29</v>
      </c>
      <c r="K340" s="343">
        <f t="shared" ca="1" si="103"/>
        <v>88.86330166270784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IFERROR(__xludf.DUMMYFUNCTION("IMPORTRANGE(""https://docs.google.com/spreadsheets/d/1XL5vhW3sbDhbH9Cz0tuDiY8C3ctxq1tqvaCgkFb8cCA/edit?usp=sharing"",""สกลนคร!J236"")"),1167)</f>
        <v>1167</v>
      </c>
      <c r="K341" s="343">
        <f t="shared" ca="1" si="103"/>
        <v>85.808823529411768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IFERROR(__xludf.DUMMYFUNCTION("IMPORTRANGE(""https://docs.google.com/spreadsheets/d/1XL5vhW3sbDhbH9Cz0tuDiY8C3ctxq1tqvaCgkFb8cCA/edit?usp=sharing"",""สกลนคร!J237"")"),10244.21)</f>
        <v>10244.209999999999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3">
        <f t="shared" ca="1" si="103"/>
        <v>7.7941176470588234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IFERROR(__xludf.DUMMYFUNCTION("IMPORTRANGE(""https://docs.google.com/spreadsheets/d/1XL5vhW3sbDhbH9Cz0tuDiY8C3ctxq1tqvaCgkFb8cCA/edit?usp=sharing"",""สกลนคร!J240"")"),594)</f>
        <v>594</v>
      </c>
      <c r="K345" s="343">
        <f t="shared" ca="1" si="103"/>
        <v>43.676470588235297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IFERROR(__xludf.DUMMYFUNCTION("IMPORTRANGE(""https://docs.google.com/spreadsheets/d/1XL5vhW3sbDhbH9Cz0tuDiY8C3ctxq1tqvaCgkFb8cCA/edit?usp=sharing"",""สกลนคร!J241"")"),5692.04)</f>
        <v>5692.04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IFERROR(__xludf.DUMMYFUNCTION("IMPORTRANGE(""https://docs.google.com/spreadsheets/d/1XL5vhW3sbDhbH9Cz0tuDiY8C3ctxq1tqvaCgkFb8cCA/edit?usp=sharing"",""สกลนคร!L242"")"),2280526)</f>
        <v>2280526</v>
      </c>
      <c r="M347" s="358"/>
      <c r="N347" s="358">
        <f ca="1">IFERROR(__xludf.DUMMYFUNCTION("IMPORTRANGE(""https://docs.google.com/spreadsheets/d/1XL5vhW3sbDhbH9Cz0tuDiY8C3ctxq1tqvaCgkFb8cCA/edit?usp=sharing"",""สกลนคร!M242"")"),1696407.27)</f>
        <v>1696407.27</v>
      </c>
      <c r="O347" s="358">
        <f ca="1">+IF(L347&gt;0,N347*100/L347,0)</f>
        <v>74.386666497115144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IFERROR(__xludf.DUMMYFUNCTION("IMPORTRANGE(""https://docs.google.com/spreadsheets/d/1XL5vhW3sbDhbH9Cz0tuDiY8C3ctxq1tqvaCgkFb8cCA/edit?usp=sharing"",""สกลนคร!M244"")"),317446.81)</f>
        <v>317446.81</v>
      </c>
      <c r="O349" s="373">
        <f ca="1">+IF(L349&gt;0,N349*100/L349,0)</f>
        <v>84.840262447550572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IFERROR(__xludf.DUMMYFUNCTION("IMPORTRANGE(""https://docs.google.com/spreadsheets/d/1XL5vhW3sbDhbH9Cz0tuDiY8C3ctxq1tqvaCgkFb8cCA/edit?usp=sharing"",""สกลนคร!L247"")"),374170)</f>
        <v>374170</v>
      </c>
      <c r="M352" s="165"/>
      <c r="N352" s="164">
        <f ca="1">IFERROR(__xludf.DUMMYFUNCTION("IMPORTRANGE(""https://docs.google.com/spreadsheets/d/1XL5vhW3sbDhbH9Cz0tuDiY8C3ctxq1tqvaCgkFb8cCA/edit?usp=sharing"",""สกลนคร!M247"")"),317446.81)</f>
        <v>317446.81</v>
      </c>
      <c r="O352" s="165">
        <f t="shared" ca="1" si="105"/>
        <v>84.840262447550572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IFERROR(__xludf.DUMMYFUNCTION("IMPORTRANGE(""https://docs.google.com/spreadsheets/d/1XL5vhW3sbDhbH9Cz0tuDiY8C3ctxq1tqvaCgkFb8cCA/edit?usp=sharing"",""สกลนคร!L249"")"),374170)</f>
        <v>374170</v>
      </c>
      <c r="M354" s="169"/>
      <c r="N354" s="168">
        <f ca="1">IFERROR(__xludf.DUMMYFUNCTION("IMPORTRANGE(""https://docs.google.com/spreadsheets/d/1XL5vhW3sbDhbH9Cz0tuDiY8C3ctxq1tqvaCgkFb8cCA/edit?usp=sharing"",""สกลนคร!M249"")"),317446.81)</f>
        <v>317446.81</v>
      </c>
      <c r="O354" s="169">
        <f t="shared" ca="1" si="105"/>
        <v>84.840262447550572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IFERROR(__xludf.DUMMYFUNCTION("IMPORTRANGE(""https://docs.google.com/spreadsheets/d/1XL5vhW3sbDhbH9Cz0tuDiY8C3ctxq1tqvaCgkFb8cCA/edit?usp=sharing"",""สกลนคร!M251"")"),87676.81)</f>
        <v>87676.81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IFERROR(__xludf.DUMMYFUNCTION("IMPORTRANGE(""https://docs.google.com/spreadsheets/d/1XL5vhW3sbDhbH9Cz0tuDiY8C3ctxq1tqvaCgkFb8cCA/edit?usp=sharing"",""สกลนคร!M252"")"),123000)</f>
        <v>123000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IFERROR(__xludf.DUMMYFUNCTION("IMPORTRANGE(""https://docs.google.com/spreadsheets/d/1XL5vhW3sbDhbH9Cz0tuDiY8C3ctxq1tqvaCgkFb8cCA/edit?usp=sharing"",""สกลนคร!M253"")"),32430)</f>
        <v>32430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IFERROR(__xludf.DUMMYFUNCTION("IMPORTRANGE(""https://docs.google.com/spreadsheets/d/1XL5vhW3sbDhbH9Cz0tuDiY8C3ctxq1tqvaCgkFb8cCA/edit?usp=sharing"",""สกลนคร!M275"")"),104136.64)</f>
        <v>104136.64</v>
      </c>
      <c r="O380" s="373">
        <f ca="1">+IF(L380&gt;0,N380*100/L380,0)</f>
        <v>22.631512148476549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IFERROR(__xludf.DUMMYFUNCTION("IMPORTRANGE(""https://docs.google.com/spreadsheets/d/1XL5vhW3sbDhbH9Cz0tuDiY8C3ctxq1tqvaCgkFb8cCA/edit?usp=sharing"",""สกลนคร!M278"")"),104136.64)</f>
        <v>104136.64</v>
      </c>
      <c r="O383" s="165">
        <f t="shared" ca="1" si="109"/>
        <v>22.631512148476549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IFERROR(__xludf.DUMMYFUNCTION("IMPORTRANGE(""https://docs.google.com/spreadsheets/d/1XL5vhW3sbDhbH9Cz0tuDiY8C3ctxq1tqvaCgkFb8cCA/edit?usp=sharing"",""สกลนคร!M280"")"),104136.64)</f>
        <v>104136.64</v>
      </c>
      <c r="O385" s="169">
        <f t="shared" ca="1" si="109"/>
        <v>22.631512148476549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IFERROR(__xludf.DUMMYFUNCTION("IMPORTRANGE(""https://docs.google.com/spreadsheets/d/1XL5vhW3sbDhbH9Cz0tuDiY8C3ctxq1tqvaCgkFb8cCA/edit?usp=sharing"",""สกลนคร!M281"")"),70263)</f>
        <v>70263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IFERROR(__xludf.DUMMYFUNCTION("IMPORTRANGE(""https://docs.google.com/spreadsheets/d/1XL5vhW3sbDhbH9Cz0tuDiY8C3ctxq1tqvaCgkFb8cCA/edit?usp=sharing"",""สกลนคร!M282"")"),10100)</f>
        <v>10100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IFERROR(__xludf.DUMMYFUNCTION("IMPORTRANGE(""https://docs.google.com/spreadsheets/d/1XL5vhW3sbDhbH9Cz0tuDiY8C3ctxq1tqvaCgkFb8cCA/edit?usp=sharing"",""สกลนคร!M284"")"),23773.64)</f>
        <v>23773.64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IFERROR(__xludf.DUMMYFUNCTION("IMPORTRANGE(""https://docs.google.com/spreadsheets/d/1XL5vhW3sbDhbH9Cz0tuDiY8C3ctxq1tqvaCgkFb8cCA/edit?usp=sharing"",""สกลนคร!M296"")"),208700)</f>
        <v>208700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IFERROR(__xludf.DUMMYFUNCTION("IMPORTRANGE(""https://docs.google.com/spreadsheets/d/1XL5vhW3sbDhbH9Cz0tuDiY8C3ctxq1tqvaCgkFb8cCA/edit?usp=sharing"",""สกลนคร!M299"")"),208700)</f>
        <v>208700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IFERROR(__xludf.DUMMYFUNCTION("IMPORTRANGE(""https://docs.google.com/spreadsheets/d/1XL5vhW3sbDhbH9Cz0tuDiY8C3ctxq1tqvaCgkFb8cCA/edit?usp=sharing"",""สกลนคร!M301"")"),208700)</f>
        <v>208700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IFERROR(__xludf.DUMMYFUNCTION("IMPORTRANGE(""https://docs.google.com/spreadsheets/d/1XL5vhW3sbDhbH9Cz0tuDiY8C3ctxq1tqvaCgkFb8cCA/edit?usp=sharing"",""สกลนคร!M303"")"),51000)</f>
        <v>51000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IFERROR(__xludf.DUMMYFUNCTION("IMPORTRANGE(""https://docs.google.com/spreadsheets/d/1XL5vhW3sbDhbH9Cz0tuDiY8C3ctxq1tqvaCgkFb8cCA/edit?usp=sharing"",""สกลนคร!M305"")"),33040)</f>
        <v>33040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IFERROR(__xludf.DUMMYFUNCTION("IMPORTRANGE(""https://docs.google.com/spreadsheets/d/1XL5vhW3sbDhbH9Cz0tuDiY8C3ctxq1tqvaCgkFb8cCA/edit?usp=sharing"",""สกลนคร!J329"")"),0)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IFERROR(__xludf.DUMMYFUNCTION("IMPORTRANGE(""https://docs.google.com/spreadsheets/d/1XL5vhW3sbDhbH9Cz0tuDiY8C3ctxq1tqvaCgkFb8cCA/edit?usp=sharing"",""สกลนคร!M330"")"),121000)</f>
        <v>121000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IFERROR(__xludf.DUMMYFUNCTION("IMPORTRANGE(""https://docs.google.com/spreadsheets/d/1XL5vhW3sbDhbH9Cz0tuDiY8C3ctxq1tqvaCgkFb8cCA/edit?usp=sharing"",""สกลนคร!M332"")"),121000)</f>
        <v>121000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IFERROR(__xludf.DUMMYFUNCTION("IMPORTRANGE(""https://docs.google.com/spreadsheets/d/1XL5vhW3sbDhbH9Cz0tuDiY8C3ctxq1tqvaCgkFb8cCA/edit?usp=sharing"",""สกลนคร!M334"")"),121000)</f>
        <v>121000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IFERROR(__xludf.DUMMYFUNCTION("IMPORTRANGE(""https://docs.google.com/spreadsheets/d/1XL5vhW3sbDhbH9Cz0tuDiY8C3ctxq1tqvaCgkFb8cCA/edit?usp=sharing"",""สกลนคร!J349"")"),0)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IFERROR(__xludf.DUMMYFUNCTION("IMPORTRANGE(""https://docs.google.com/spreadsheets/d/1XL5vhW3sbDhbH9Cz0tuDiY8C3ctxq1tqvaCgkFb8cCA/edit?usp=sharing"",""สกลนคร!L350"")"),560268)</f>
        <v>560268</v>
      </c>
      <c r="M455" s="373"/>
      <c r="N455" s="373">
        <f ca="1">IFERROR(__xludf.DUMMYFUNCTION("IMPORTRANGE(""https://docs.google.com/spreadsheets/d/1XL5vhW3sbDhbH9Cz0tuDiY8C3ctxq1tqvaCgkFb8cCA/edit?usp=sharing"",""สกลนคร!M350"")"),470698.13)</f>
        <v>470698.13</v>
      </c>
      <c r="O455" s="373">
        <f t="shared" ref="O455:O459" ca="1" si="116">+IF(L455&gt;0,N455*100/L455,0)</f>
        <v>84.013031263609562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IFERROR(__xludf.DUMMYFUNCTION("IMPORTRANGE(""https://docs.google.com/spreadsheets/d/1XL5vhW3sbDhbH9Cz0tuDiY8C3ctxq1tqvaCgkFb8cCA/edit?usp=sharing"",""สกลนคร!L352"")"),560268)</f>
        <v>560268</v>
      </c>
      <c r="M457" s="165"/>
      <c r="N457" s="169">
        <f ca="1">IFERROR(__xludf.DUMMYFUNCTION("IMPORTRANGE(""https://docs.google.com/spreadsheets/d/1XL5vhW3sbDhbH9Cz0tuDiY8C3ctxq1tqvaCgkFb8cCA/edit?usp=sharing"",""สกลนคร!M352"")"),470698.13)</f>
        <v>470698.13</v>
      </c>
      <c r="O457" s="169">
        <f t="shared" ca="1" si="116"/>
        <v>84.013031263609562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IFERROR(__xludf.DUMMYFUNCTION("IMPORTRANGE(""https://docs.google.com/spreadsheets/d/1XL5vhW3sbDhbH9Cz0tuDiY8C3ctxq1tqvaCgkFb8cCA/edit?usp=sharing"",""สกลนคร!L354"")"),560268)</f>
        <v>560268</v>
      </c>
      <c r="M459" s="169"/>
      <c r="N459" s="169">
        <f ca="1">IFERROR(__xludf.DUMMYFUNCTION("IMPORTRANGE(""https://docs.google.com/spreadsheets/d/1XL5vhW3sbDhbH9Cz0tuDiY8C3ctxq1tqvaCgkFb8cCA/edit?usp=sharing"",""สกลนคร!M354"")"),470698.13)</f>
        <v>470698.13</v>
      </c>
      <c r="O459" s="169">
        <f t="shared" ca="1" si="116"/>
        <v>84.013031263609562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IFERROR(__xludf.DUMMYFUNCTION("IMPORTRANGE(""https://docs.google.com/spreadsheets/d/1XL5vhW3sbDhbH9Cz0tuDiY8C3ctxq1tqvaCgkFb8cCA/edit?usp=sharing"",""สกลนคร!M357"")"),110000)</f>
        <v>110000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IFERROR(__xludf.DUMMYFUNCTION("IMPORTRANGE(""https://docs.google.com/spreadsheets/d/1XL5vhW3sbDhbH9Cz0tuDiY8C3ctxq1tqvaCgkFb8cCA/edit?usp=sharing"",""สกลนคร!M358"")"),360698.13)</f>
        <v>360698.13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IFERROR(__xludf.DUMMYFUNCTION("IMPORTRANGE(""https://docs.google.com/spreadsheets/d/1XL5vhW3sbDhbH9Cz0tuDiY8C3ctxq1tqvaCgkFb8cCA/edit?usp=sharing"",""สกลนคร!I412"")"),0)</f>
        <v>0</v>
      </c>
      <c r="J517" s="285">
        <f ca="1">IFERROR(__xludf.DUMMYFUNCTION("IMPORTRANGE(""https://docs.google.com/spreadsheets/d/1XL5vhW3sbDhbH9Cz0tuDiY8C3ctxq1tqvaCgkFb8cCA/edit?usp=sharing"",""สกลนคร!J412"")"),0)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IFERROR(__xludf.DUMMYFUNCTION("IMPORTRANGE(""https://docs.google.com/spreadsheets/d/1XL5vhW3sbDhbH9Cz0tuDiY8C3ctxq1tqvaCgkFb8cCA/edit?usp=sharing"",""สกลนคร!I413"")"),0)</f>
        <v>0</v>
      </c>
      <c r="J518" s="285">
        <f ca="1">IFERROR(__xludf.DUMMYFUNCTION("IMPORTRANGE(""https://docs.google.com/spreadsheets/d/1XL5vhW3sbDhbH9Cz0tuDiY8C3ctxq1tqvaCgkFb8cCA/edit?usp=sharing"",""สกลนคร!J413"")"),0)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IFERROR(__xludf.DUMMYFUNCTION("IMPORTRANGE(""https://docs.google.com/spreadsheets/d/1XL5vhW3sbDhbH9Cz0tuDiY8C3ctxq1tqvaCgkFb8cCA/edit?usp=sharing"",""สกลนคร!J418"")"),84)</f>
        <v>84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IFERROR(__xludf.DUMMYFUNCTION("IMPORTRANGE(""https://docs.google.com/spreadsheets/d/1XL5vhW3sbDhbH9Cz0tuDiY8C3ctxq1tqvaCgkFb8cCA/edit?usp=sharing"",""สกลนคร!J419"")"),5)</f>
        <v>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IFERROR(__xludf.DUMMYFUNCTION("IMPORTRANGE(""https://docs.google.com/spreadsheets/d/1XL5vhW3sbDhbH9Cz0tuDiY8C3ctxq1tqvaCgkFb8cCA/edit?usp=sharing"",""สกลนคร!I420"")"),84)</f>
        <v>84</v>
      </c>
      <c r="J525" s="285">
        <f ca="1">IFERROR(__xludf.DUMMYFUNCTION("IMPORTRANGE(""https://docs.google.com/spreadsheets/d/1XL5vhW3sbDhbH9Cz0tuDiY8C3ctxq1tqvaCgkFb8cCA/edit?usp=sharing"",""สกลนคร!J420"")"),0)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IFERROR(__xludf.DUMMYFUNCTION("IMPORTRANGE(""https://docs.google.com/spreadsheets/d/1XL5vhW3sbDhbH9Cz0tuDiY8C3ctxq1tqvaCgkFb8cCA/edit?usp=sharing"",""สกลนคร!I421"")"),5)</f>
        <v>5</v>
      </c>
      <c r="J526" s="285">
        <f ca="1">IFERROR(__xludf.DUMMYFUNCTION("IMPORTRANGE(""https://docs.google.com/spreadsheets/d/1XL5vhW3sbDhbH9Cz0tuDiY8C3ctxq1tqvaCgkFb8cCA/edit?usp=sharing"",""สกลนคร!J421"")"),0)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IFERROR(__xludf.DUMMYFUNCTION("IMPORTRANGE(""https://docs.google.com/spreadsheets/d/1XL5vhW3sbDhbH9Cz0tuDiY8C3ctxq1tqvaCgkFb8cCA/edit?usp=sharing"",""สกลนคร!L430"")"),37740)</f>
        <v>37740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90.07684154742978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IFERROR(__xludf.DUMMYFUNCTION("IMPORTRANGE(""https://docs.google.com/spreadsheets/d/1XL5vhW3sbDhbH9Cz0tuDiY8C3ctxq1tqvaCgkFb8cCA/edit?usp=sharing"",""สกลนคร!L432"")"),37740)</f>
        <v>37740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90.07684154742978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IFERROR(__xludf.DUMMYFUNCTION("IMPORTRANGE(""https://docs.google.com/spreadsheets/d/1XL5vhW3sbDhbH9Cz0tuDiY8C3ctxq1tqvaCgkFb8cCA/edit?usp=sharing"",""สกลนคร!J459"")"),7206)</f>
        <v>7206</v>
      </c>
      <c r="K564" s="372">
        <f ca="1">IF(I564&gt;0,J564*100/I564,0)</f>
        <v>171.57142857142858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IFERROR(__xludf.DUMMYFUNCTION("IMPORTRANGE(""https://docs.google.com/spreadsheets/d/1XL5vhW3sbDhbH9Cz0tuDiY8C3ctxq1tqvaCgkFb8cCA/edit?usp=sharing"",""สกลนคร!M459"")"),162253.43)</f>
        <v>162253.43</v>
      </c>
      <c r="O564" s="373">
        <f t="shared" ref="O564:O568" ca="1" si="122">+IF(L564&gt;0,N564*100/L564,0)</f>
        <v>97.041525119617219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IFERROR(__xludf.DUMMYFUNCTION("IMPORTRANGE(""https://docs.google.com/spreadsheets/d/1XL5vhW3sbDhbH9Cz0tuDiY8C3ctxq1tqvaCgkFb8cCA/edit?usp=sharing"",""สกลนคร!M461"")"),162253.43)</f>
        <v>162253.43</v>
      </c>
      <c r="O566" s="169">
        <f t="shared" ca="1" si="122"/>
        <v>97.041525119617219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IFERROR(__xludf.DUMMYFUNCTION("IMPORTRANGE(""https://docs.google.com/spreadsheets/d/1XL5vhW3sbDhbH9Cz0tuDiY8C3ctxq1tqvaCgkFb8cCA/edit?usp=sharing"",""สกลนคร!M463"")"),162253.43)</f>
        <v>162253.43</v>
      </c>
      <c r="O568" s="169">
        <f t="shared" ca="1" si="122"/>
        <v>97.041525119617219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IFERROR(__xludf.DUMMYFUNCTION("IMPORTRANGE(""https://docs.google.com/spreadsheets/d/1XL5vhW3sbDhbH9Cz0tuDiY8C3ctxq1tqvaCgkFb8cCA/edit?usp=sharing"",""สกลนคร!M467"")"),63253.43)</f>
        <v>63253.43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IFERROR(__xludf.DUMMYFUNCTION("IMPORTRANGE(""https://docs.google.com/spreadsheets/d/1XL5vhW3sbDhbH9Cz0tuDiY8C3ctxq1tqvaCgkFb8cCA/edit?usp=sharing"",""สกลนคร!J468"")"),7206)</f>
        <v>7206</v>
      </c>
      <c r="K573" s="202">
        <f ca="1">IF(I573&gt;0,J573*100/I573,0)</f>
        <v>171.57142857142858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IFERROR(__xludf.DUMMYFUNCTION("IMPORTRANGE(""https://docs.google.com/spreadsheets/d/1XL5vhW3sbDhbH9Cz0tuDiY8C3ctxq1tqvaCgkFb8cCA/edit?usp=sharing"",""สกลนคร!J472"")"),5766)</f>
        <v>5766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IFERROR(__xludf.DUMMYFUNCTION("IMPORTRANGE(""https://docs.google.com/spreadsheets/d/1XL5vhW3sbDhbH9Cz0tuDiY8C3ctxq1tqvaCgkFb8cCA/edit?usp=sharing"",""สกลนคร!J474"")"),95)</f>
        <v>95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IFERROR(__xludf.DUMMYFUNCTION("IMPORTRANGE(""https://docs.google.com/spreadsheets/d/1XL5vhW3sbDhbH9Cz0tuDiY8C3ctxq1tqvaCgkFb8cCA/edit?usp=sharing"",""สกลนคร!I475"")"),108)</f>
        <v>108</v>
      </c>
      <c r="J580" s="371">
        <f ca="1">IFERROR(__xludf.DUMMYFUNCTION("IMPORTRANGE(""https://docs.google.com/spreadsheets/d/1XL5vhW3sbDhbH9Cz0tuDiY8C3ctxq1tqvaCgkFb8cCA/edit?usp=sharing"",""สกลนคร!J475"")"),23)</f>
        <v>23</v>
      </c>
      <c r="K580" s="372">
        <f ca="1">IF(I580&gt;0,J580*100/I580,0)</f>
        <v>21.296296296296298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IFERROR(__xludf.DUMMYFUNCTION("IMPORTRANGE(""https://docs.google.com/spreadsheets/d/1XL5vhW3sbDhbH9Cz0tuDiY8C3ctxq1tqvaCgkFb8cCA/edit?usp=sharing"",""สกลนคร!M475"")"),263677.26)</f>
        <v>263677.26</v>
      </c>
      <c r="O580" s="373">
        <f t="shared" ref="O580:O584" ca="1" si="124">+IF(L580&gt;0,N580*100/L580,0)</f>
        <v>79.803533812740611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IFERROR(__xludf.DUMMYFUNCTION("IMPORTRANGE(""https://docs.google.com/spreadsheets/d/1XL5vhW3sbDhbH9Cz0tuDiY8C3ctxq1tqvaCgkFb8cCA/edit?usp=sharing"",""สกลนคร!M477"")"),263677.26)</f>
        <v>263677.26</v>
      </c>
      <c r="O582" s="169">
        <f t="shared" ca="1" si="124"/>
        <v>79.803533812740611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IFERROR(__xludf.DUMMYFUNCTION("IMPORTRANGE(""https://docs.google.com/spreadsheets/d/1XL5vhW3sbDhbH9Cz0tuDiY8C3ctxq1tqvaCgkFb8cCA/edit?usp=sharing"",""สกลนคร!M479"")"),263677.26)</f>
        <v>263677.26</v>
      </c>
      <c r="O584" s="169">
        <f t="shared" ca="1" si="124"/>
        <v>79.803533812740611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IFERROR(__xludf.DUMMYFUNCTION("IMPORTRANGE(""https://docs.google.com/spreadsheets/d/1XL5vhW3sbDhbH9Cz0tuDiY8C3ctxq1tqvaCgkFb8cCA/edit?usp=sharing"",""สกลนคร!M482"")"),110000)</f>
        <v>110000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IFERROR(__xludf.DUMMYFUNCTION("IMPORTRANGE(""https://docs.google.com/spreadsheets/d/1XL5vhW3sbDhbH9Cz0tuDiY8C3ctxq1tqvaCgkFb8cCA/edit?usp=sharing"",""สกลนคร!M483"")"),153677.26)</f>
        <v>153677.26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IFERROR(__xludf.DUMMYFUNCTION("IMPORTRANGE(""https://docs.google.com/spreadsheets/d/1XL5vhW3sbDhbH9Cz0tuDiY8C3ctxq1tqvaCgkFb8cCA/edit?usp=sharing"",""สกลนคร!I484"")"),108)</f>
        <v>108</v>
      </c>
      <c r="J589" s="188">
        <f ca="1">IFERROR(__xludf.DUMMYFUNCTION("IMPORTRANGE(""https://docs.google.com/spreadsheets/d/1XL5vhW3sbDhbH9Cz0tuDiY8C3ctxq1tqvaCgkFb8cCA/edit?usp=sharing"",""สกลนคร!J484"")"),215)</f>
        <v>215</v>
      </c>
      <c r="K589" s="163">
        <f t="shared" ref="K589:K596" ca="1" si="125">IF(I589&gt;0,J589*100/I589,0)</f>
        <v>199.07407407407408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IFERROR(__xludf.DUMMYFUNCTION("IMPORTRANGE(""https://docs.google.com/spreadsheets/d/1XL5vhW3sbDhbH9Cz0tuDiY8C3ctxq1tqvaCgkFb8cCA/edit?usp=sharing"",""สกลนคร!J485"")"),101.96)</f>
        <v>101.96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IFERROR(__xludf.DUMMYFUNCTION("IMPORTRANGE(""https://docs.google.com/spreadsheets/d/1XL5vhW3sbDhbH9Cz0tuDiY8C3ctxq1tqvaCgkFb8cCA/edit?usp=sharing"",""สกลนคร!I486"")"),108)</f>
        <v>108</v>
      </c>
      <c r="J591" s="188">
        <f ca="1">IFERROR(__xludf.DUMMYFUNCTION("IMPORTRANGE(""https://docs.google.com/spreadsheets/d/1XL5vhW3sbDhbH9Cz0tuDiY8C3ctxq1tqvaCgkFb8cCA/edit?usp=sharing"",""สกลนคร!J486"")"),299)</f>
        <v>299</v>
      </c>
      <c r="K591" s="163">
        <f t="shared" ca="1" si="125"/>
        <v>276.85185185185185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IFERROR(__xludf.DUMMYFUNCTION("IMPORTRANGE(""https://docs.google.com/spreadsheets/d/1XL5vhW3sbDhbH9Cz0tuDiY8C3ctxq1tqvaCgkFb8cCA/edit?usp=sharing"",""สกลนคร!J487"")"),141.84)</f>
        <v>141.84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IFERROR(__xludf.DUMMYFUNCTION("IMPORTRANGE(""https://docs.google.com/spreadsheets/d/1XL5vhW3sbDhbH9Cz0tuDiY8C3ctxq1tqvaCgkFb8cCA/edit?usp=sharing"",""สกลนคร!I488"")"),108)</f>
        <v>108</v>
      </c>
      <c r="J593" s="188">
        <f ca="1">IFERROR(__xludf.DUMMYFUNCTION("IMPORTRANGE(""https://docs.google.com/spreadsheets/d/1XL5vhW3sbDhbH9Cz0tuDiY8C3ctxq1tqvaCgkFb8cCA/edit?usp=sharing"",""สกลนคร!J488"")"),123)</f>
        <v>123</v>
      </c>
      <c r="K593" s="163">
        <f t="shared" ca="1" si="125"/>
        <v>113.88888888888889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IFERROR(__xludf.DUMMYFUNCTION("IMPORTRANGE(""https://docs.google.com/spreadsheets/d/1XL5vhW3sbDhbH9Cz0tuDiY8C3ctxq1tqvaCgkFb8cCA/edit?usp=sharing"",""สกลนคร!J489"")"),61.23)</f>
        <v>61.23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IFERROR(__xludf.DUMMYFUNCTION("IMPORTRANGE(""https://docs.google.com/spreadsheets/d/1XL5vhW3sbDhbH9Cz0tuDiY8C3ctxq1tqvaCgkFb8cCA/edit?usp=sharing"",""สกลนคร!I490"")"),108)</f>
        <v>108</v>
      </c>
      <c r="J595" s="188">
        <f ca="1">IFERROR(__xludf.DUMMYFUNCTION("IMPORTRANGE(""https://docs.google.com/spreadsheets/d/1XL5vhW3sbDhbH9Cz0tuDiY8C3ctxq1tqvaCgkFb8cCA/edit?usp=sharing"",""สกลนคร!J490"")"),23)</f>
        <v>23</v>
      </c>
      <c r="K595" s="163">
        <f t="shared" ca="1" si="125"/>
        <v>21.296296296296298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IFERROR(__xludf.DUMMYFUNCTION("IMPORTRANGE(""https://docs.google.com/spreadsheets/d/1XL5vhW3sbDhbH9Cz0tuDiY8C3ctxq1tqvaCgkFb8cCA/edit?usp=sharing"",""สกลนคร!J491"")"),12.23)</f>
        <v>12.23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8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IFERROR(__xludf.DUMMYFUNCTION("IMPORTRANGE(""https://docs.google.com/spreadsheets/d/1XL5vhW3sbDhbH9Cz0tuDiY8C3ctxq1tqvaCgkFb8cCA/edit?usp=sharing"",""สกลนคร!M492"")"),14500)</f>
        <v>14500</v>
      </c>
      <c r="O597" s="412">
        <f t="shared" ref="O597:O601" ca="1" si="126">+IF(L597&gt;0,N597*100/L597,0)</f>
        <v>69.377990430622006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IFERROR(__xludf.DUMMYFUNCTION("IMPORTRANGE(""https://docs.google.com/spreadsheets/d/1XL5vhW3sbDhbH9Cz0tuDiY8C3ctxq1tqvaCgkFb8cCA/edit?usp=sharing"",""สกลนคร!L494"")"),20900)</f>
        <v>20900</v>
      </c>
      <c r="M599" s="165"/>
      <c r="N599" s="169">
        <f ca="1">IFERROR(__xludf.DUMMYFUNCTION("IMPORTRANGE(""https://docs.google.com/spreadsheets/d/1XL5vhW3sbDhbH9Cz0tuDiY8C3ctxq1tqvaCgkFb8cCA/edit?usp=sharing"",""สกลนคร!M494"")"),14500)</f>
        <v>14500</v>
      </c>
      <c r="O599" s="169">
        <f t="shared" ca="1" si="126"/>
        <v>69.377990430622006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IFERROR(__xludf.DUMMYFUNCTION("IMPORTRANGE(""https://docs.google.com/spreadsheets/d/1XL5vhW3sbDhbH9Cz0tuDiY8C3ctxq1tqvaCgkFb8cCA/edit?usp=sharing"",""สกลนคร!L496"")"),20900)</f>
        <v>20900</v>
      </c>
      <c r="M601" s="169"/>
      <c r="N601" s="169">
        <f ca="1">IFERROR(__xludf.DUMMYFUNCTION("IMPORTRANGE(""https://docs.google.com/spreadsheets/d/1XL5vhW3sbDhbH9Cz0tuDiY8C3ctxq1tqvaCgkFb8cCA/edit?usp=sharing"",""สกลนคร!M496"")"),14500)</f>
        <v>14500</v>
      </c>
      <c r="O601" s="169">
        <f t="shared" ca="1" si="126"/>
        <v>69.377990430622006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IFERROR(__xludf.DUMMYFUNCTION("IMPORTRANGE(""https://docs.google.com/spreadsheets/d/1XL5vhW3sbDhbH9Cz0tuDiY8C3ctxq1tqvaCgkFb8cCA/edit?usp=sharing"",""สกลนคร!M500"")"),14500)</f>
        <v>14500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IFERROR(__xludf.DUMMYFUNCTION("IMPORTRANGE(""https://docs.google.com/spreadsheets/d/1XL5vhW3sbDhbH9Cz0tuDiY8C3ctxq1tqvaCgkFb8cCA/edit?usp=sharing"",""สกลนคร!J166"")"),0)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IFERROR(__xludf.DUMMYFUNCTION("IMPORTRANGE(""https://docs.google.com/spreadsheets/d/1XL5vhW3sbDhbH9Cz0tuDiY8C3ctxq1tqvaCgkFb8cCA/edit?usp=sharing"",""สกลนคร!J166"")"),0)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2">
        <f ca="1">IFERROR(__xludf.DUMMYFUNCTION("IMPORTRANGE(""https://docs.google.com/spreadsheets/d/1XL5vhW3sbDhbH9Cz0tuDiY8C3ctxq1tqvaCgkFb8cCA/edit?usp=sharing"",""สกลนคร!J523"")"),6958031.53)</f>
        <v>6958031.5300000003</v>
      </c>
      <c r="K628" s="343">
        <f t="shared" ref="K628:K635" ca="1" si="129">IF(I628&gt;0,J628*100/I628,0)</f>
        <v>77.164748365592772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IFERROR(__xludf.DUMMYFUNCTION("IMPORTRANGE(""https://docs.google.com/spreadsheets/d/1XL5vhW3sbDhbH9Cz0tuDiY8C3ctxq1tqvaCgkFb8cCA/edit?usp=sharing"",""สกลนคร!I524"")"),757)</f>
        <v>757</v>
      </c>
      <c r="J629" s="342">
        <f ca="1">IFERROR(__xludf.DUMMYFUNCTION("IMPORTRANGE(""https://docs.google.com/spreadsheets/d/1XL5vhW3sbDhbH9Cz0tuDiY8C3ctxq1tqvaCgkFb8cCA/edit?usp=sharing"",""สกลนคร!J524"")"),574)</f>
        <v>574</v>
      </c>
      <c r="K629" s="343">
        <f t="shared" ca="1" si="129"/>
        <v>75.825627476882431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IFERROR(__xludf.DUMMYFUNCTION("IMPORTRANGE(""https://docs.google.com/spreadsheets/d/1XL5vhW3sbDhbH9Cz0tuDiY8C3ctxq1tqvaCgkFb8cCA/edit?usp=sharing"",""สกลนคร!I525"")"),3296006.08)</f>
        <v>3296006.08</v>
      </c>
      <c r="J630" s="342">
        <f ca="1">IFERROR(__xludf.DUMMYFUNCTION("IMPORTRANGE(""https://docs.google.com/spreadsheets/d/1XL5vhW3sbDhbH9Cz0tuDiY8C3ctxq1tqvaCgkFb8cCA/edit?usp=sharing"",""สกลนคร!J525"")"),1293883.35)</f>
        <v>1293883.3500000001</v>
      </c>
      <c r="K630" s="343">
        <f t="shared" ca="1" si="129"/>
        <v>39.256097185354712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IFERROR(__xludf.DUMMYFUNCTION("IMPORTRANGE(""https://docs.google.com/spreadsheets/d/1XL5vhW3sbDhbH9Cz0tuDiY8C3ctxq1tqvaCgkFb8cCA/edit?usp=sharing"",""สกลนคร!I526"")"),160)</f>
        <v>160</v>
      </c>
      <c r="J631" s="342">
        <f ca="1">IFERROR(__xludf.DUMMYFUNCTION("IMPORTRANGE(""https://docs.google.com/spreadsheets/d/1XL5vhW3sbDhbH9Cz0tuDiY8C3ctxq1tqvaCgkFb8cCA/edit?usp=sharing"",""สกลนคร!J526"")"),119)</f>
        <v>119</v>
      </c>
      <c r="K631" s="343">
        <f t="shared" ca="1" si="129"/>
        <v>74.375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IFERROR(__xludf.DUMMYFUNCTION("IMPORTRANGE(""https://docs.google.com/spreadsheets/d/1XL5vhW3sbDhbH9Cz0tuDiY8C3ctxq1tqvaCgkFb8cCA/edit?usp=sharing"",""สกลนคร!I527"")"),0)</f>
        <v>0</v>
      </c>
      <c r="J632" s="342">
        <f ca="1">IFERROR(__xludf.DUMMYFUNCTION("IMPORTRANGE(""https://docs.google.com/spreadsheets/d/1XL5vhW3sbDhbH9Cz0tuDiY8C3ctxq1tqvaCgkFb8cCA/edit?usp=sharing"",""สกลนคร!J527"")"),0)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IFERROR(__xludf.DUMMYFUNCTION("IMPORTRANGE(""https://docs.google.com/spreadsheets/d/1XL5vhW3sbDhbH9Cz0tuDiY8C3ctxq1tqvaCgkFb8cCA/edit?usp=sharing"",""สกลนคร!I528"")"),0)</f>
        <v>0</v>
      </c>
      <c r="J633" s="342">
        <f ca="1">IFERROR(__xludf.DUMMYFUNCTION("IMPORTRANGE(""https://docs.google.com/spreadsheets/d/1XL5vhW3sbDhbH9Cz0tuDiY8C3ctxq1tqvaCgkFb8cCA/edit?usp=sharing"",""สกลนคร!J528"")"),0)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IFERROR(__xludf.DUMMYFUNCTION("IMPORTRANGE(""https://docs.google.com/spreadsheets/d/1XL5vhW3sbDhbH9Cz0tuDiY8C3ctxq1tqvaCgkFb8cCA/edit?usp=sharing"",""สกลนคร!I529"")"),10000000)</f>
        <v>10000000</v>
      </c>
      <c r="J634" s="342">
        <f ca="1">IFERROR(__xludf.DUMMYFUNCTION("IMPORTRANGE(""https://docs.google.com/spreadsheets/d/1XL5vhW3sbDhbH9Cz0tuDiY8C3ctxq1tqvaCgkFb8cCA/edit?usp=sharing"",""สกลนคร!J529"")"),8550000)</f>
        <v>8550000</v>
      </c>
      <c r="K634" s="343">
        <f t="shared" ca="1" si="129"/>
        <v>85.5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IFERROR(__xludf.DUMMYFUNCTION("IMPORTRANGE(""https://docs.google.com/spreadsheets/d/1XL5vhW3sbDhbH9Cz0tuDiY8C3ctxq1tqvaCgkFb8cCA/edit?usp=sharing"",""สกลนคร!I530"")"),200)</f>
        <v>200</v>
      </c>
      <c r="J635" s="505">
        <f ca="1">IFERROR(__xludf.DUMMYFUNCTION("IMPORTRANGE(""https://docs.google.com/spreadsheets/d/1XL5vhW3sbDhbH9Cz0tuDiY8C3ctxq1tqvaCgkFb8cCA/edit?usp=sharing"",""สกลนคร!J530"")"),205)</f>
        <v>205</v>
      </c>
      <c r="K635" s="487">
        <f t="shared" ca="1" si="129"/>
        <v>102.5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IFERROR(__xludf.DUMMYFUNCTION("IMPORTRANGE(""https://docs.google.com/spreadsheets/d/1XL5vhW3sbDhbH9Cz0tuDiY8C3ctxq1tqvaCgkFb8cCA/edit#gid=346597447"",""สกลนคร!J541"")"),0)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IFERROR(__xludf.DUMMYFUNCTION("IMPORTRANGE(""https://docs.google.com/spreadsheets/d/1XL5vhW3sbDhbH9Cz0tuDiY8C3ctxq1tqvaCgkFb8cCA/edit#gid=346597447"",""สกลนคร!J542"")"),0)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IFERROR(__xludf.DUMMYFUNCTION("IMPORTRANGE(""https://docs.google.com/spreadsheets/d/1XL5vhW3sbDhbH9Cz0tuDiY8C3ctxq1tqvaCgkFb8cCA/edit#gid=346597447"",""สกลนคร!I543"")"),0)</f>
        <v>0</v>
      </c>
      <c r="J648" s="586">
        <f ca="1">IFERROR(__xludf.DUMMYFUNCTION("IMPORTRANGE(""https://docs.google.com/spreadsheets/d/1XL5vhW3sbDhbH9Cz0tuDiY8C3ctxq1tqvaCgkFb8cCA/edit#gid=346597447"",""สกลนคร!J543"")"),0)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IFERROR(__xludf.DUMMYFUNCTION("IMPORTRANGE(""https://docs.google.com/spreadsheets/d/1XL5vhW3sbDhbH9Cz0tuDiY8C3ctxq1tqvaCgkFb8cCA/edit#gid=346597447"",""สกลนคร!L543"")"),0)</f>
        <v>0</v>
      </c>
      <c r="M648" s="571"/>
      <c r="N648" s="588">
        <f ca="1">IFERROR(__xludf.DUMMYFUNCTION("IMPORTRANGE(""https://docs.google.com/spreadsheets/d/1XL5vhW3sbDhbH9Cz0tuDiY8C3ctxq1tqvaCgkFb8cCA/edit#gid=346597447"",""สกลนคร!M543"")"),0)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IFERROR(__xludf.DUMMYFUNCTION("IMPORTRANGE(""https://docs.google.com/spreadsheets/d/1XL5vhW3sbDhbH9Cz0tuDiY8C3ctxq1tqvaCgkFb8cCA/edit#gid=346597447"",""สกลนคร!I544"")"),0)</f>
        <v>0</v>
      </c>
      <c r="J649" s="586">
        <f ca="1">IFERROR(__xludf.DUMMYFUNCTION("IMPORTRANGE(""https://docs.google.com/spreadsheets/d/1XL5vhW3sbDhbH9Cz0tuDiY8C3ctxq1tqvaCgkFb8cCA/edit#gid=346597447"",""สกลนคร!J544"")"),0)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IFERROR(__xludf.DUMMYFUNCTION("IMPORTRANGE(""https://docs.google.com/spreadsheets/d/1XL5vhW3sbDhbH9Cz0tuDiY8C3ctxq1tqvaCgkFb8cCA/edit#gid=346597447"",""สกลนคร!L544"")"),0)</f>
        <v>0</v>
      </c>
      <c r="M649" s="571"/>
      <c r="N649" s="588">
        <f ca="1">IFERROR(__xludf.DUMMYFUNCTION("IMPORTRANGE(""https://docs.google.com/spreadsheets/d/1XL5vhW3sbDhbH9Cz0tuDiY8C3ctxq1tqvaCgkFb8cCA/edit#gid=346597447"",""สกลนคร!M544"")"),0)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IFERROR(__xludf.DUMMYFUNCTION("IMPORTRANGE(""https://docs.google.com/spreadsheets/d/1XL5vhW3sbDhbH9Cz0tuDiY8C3ctxq1tqvaCgkFb8cCA/edit#gid=346597447"",""สกลนคร!I545"")"),0)</f>
        <v>0</v>
      </c>
      <c r="J650" s="586">
        <f ca="1">IFERROR(__xludf.DUMMYFUNCTION("IMPORTRANGE(""https://docs.google.com/spreadsheets/d/1XL5vhW3sbDhbH9Cz0tuDiY8C3ctxq1tqvaCgkFb8cCA/edit#gid=346597447"",""สกลนคร!J545"")"),0)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IFERROR(__xludf.DUMMYFUNCTION("IMPORTRANGE(""https://docs.google.com/spreadsheets/d/1XL5vhW3sbDhbH9Cz0tuDiY8C3ctxq1tqvaCgkFb8cCA/edit#gid=346597447"",""สกลนคร!L545"")"),0)</f>
        <v>0</v>
      </c>
      <c r="M650" s="571"/>
      <c r="N650" s="588">
        <f ca="1">IFERROR(__xludf.DUMMYFUNCTION("IMPORTRANGE(""https://docs.google.com/spreadsheets/d/1XL5vhW3sbDhbH9Cz0tuDiY8C3ctxq1tqvaCgkFb8cCA/edit#gid=346597447"",""สกลนคร!M545"")"),0)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IFERROR(__xludf.DUMMYFUNCTION("IMPORTRANGE(""https://docs.google.com/spreadsheets/d/1XL5vhW3sbDhbH9Cz0tuDiY8C3ctxq1tqvaCgkFb8cCA/edit#gid=346597447"",""สกลนคร!I546"")"),0)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IFERROR(__xludf.DUMMYFUNCTION("IMPORTRANGE(""https://docs.google.com/spreadsheets/d/1XL5vhW3sbDhbH9Cz0tuDiY8C3ctxq1tqvaCgkFb8cCA/edit#gid=346597447"",""สกลนคร!L546"")"),0)</f>
        <v>0</v>
      </c>
      <c r="M651" s="571"/>
      <c r="N651" s="588">
        <f ca="1">IFERROR(__xludf.DUMMYFUNCTION("IMPORTRANGE(""https://docs.google.com/spreadsheets/d/1XL5vhW3sbDhbH9Cz0tuDiY8C3ctxq1tqvaCgkFb8cCA/edit#gid=346597447"",""สกลนคร!M546"")"),0)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IFERROR(__xludf.DUMMYFUNCTION("IMPORTRANGE(""https://docs.google.com/spreadsheets/d/1XL5vhW3sbDhbH9Cz0tuDiY8C3ctxq1tqvaCgkFb8cCA/edit#gid=346597447"",""สกลนคร!J547"")"),0)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IFERROR(__xludf.DUMMYFUNCTION("IMPORTRANGE(""https://docs.google.com/spreadsheets/d/1XL5vhW3sbDhbH9Cz0tuDiY8C3ctxq1tqvaCgkFb8cCA/edit#gid=346597447"",""สกลนคร!J548"")"),0)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IFERROR(__xludf.DUMMYFUNCTION("IMPORTRANGE(""https://docs.google.com/spreadsheets/d/1XL5vhW3sbDhbH9Cz0tuDiY8C3ctxq1tqvaCgkFb8cCA/edit#gid=346597447"",""สกลนคร!J550"")"),0)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IFERROR(__xludf.DUMMYFUNCTION("IMPORTRANGE(""https://docs.google.com/spreadsheets/d/1XL5vhW3sbDhbH9Cz0tuDiY8C3ctxq1tqvaCgkFb8cCA/edit#gid=346597447"",""สกลนคร!J551"")"),0)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IFERROR(__xludf.DUMMYFUNCTION("IMPORTRANGE(""https://docs.google.com/spreadsheets/d/1XL5vhW3sbDhbH9Cz0tuDiY8C3ctxq1tqvaCgkFb8cCA/edit#gid=346597447"",""สกลนคร!J552"")"),0)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IFERROR(__xludf.DUMMYFUNCTION("IMPORTRANGE(""https://docs.google.com/spreadsheets/d/1XL5vhW3sbDhbH9Cz0tuDiY8C3ctxq1tqvaCgkFb8cCA/edit#gid=346597447"",""สกลนคร!J553"")"),0)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IFERROR(__xludf.DUMMYFUNCTION("IMPORTRANGE(""https://docs.google.com/spreadsheets/d/1XL5vhW3sbDhbH9Cz0tuDiY8C3ctxq1tqvaCgkFb8cCA/edit#gid=346597447"",""สกลนคร!J554"")"),0)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IFERROR(__xludf.DUMMYFUNCTION("IMPORTRANGE(""https://docs.google.com/spreadsheets/d/1XL5vhW3sbDhbH9Cz0tuDiY8C3ctxq1tqvaCgkFb8cCA/edit#gid=346597447"",""สกลนคร!J555"")"),0)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IFERROR(__xludf.DUMMYFUNCTION("IMPORTRANGE(""https://docs.google.com/spreadsheets/d/1XL5vhW3sbDhbH9Cz0tuDiY8C3ctxq1tqvaCgkFb8cCA/edit#gid=346597447"",""สกลนคร!J556"")"),0)</f>
        <v>0</v>
      </c>
      <c r="K661" s="587"/>
      <c r="L661" s="572">
        <f ca="1">IFERROR(__xludf.DUMMYFUNCTION("IMPORTRANGE(""https://docs.google.com/spreadsheets/d/1XL5vhW3sbDhbH9Cz0tuDiY8C3ctxq1tqvaCgkFb8cCA/edit#gid=346597447"",""สกลนคร!L556"")"),0)</f>
        <v>0</v>
      </c>
      <c r="M661" s="571"/>
      <c r="N661" s="588">
        <f ca="1">IFERROR(__xludf.DUMMYFUNCTION("IMPORTRANGE(""https://docs.google.com/spreadsheets/d/1XL5vhW3sbDhbH9Cz0tuDiY8C3ctxq1tqvaCgkFb8cCA/edit#gid=346597447"",""สกลนคร!M556"")"),0)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IFERROR(__xludf.DUMMYFUNCTION("IMPORTRANGE(""https://docs.google.com/spreadsheets/d/1XL5vhW3sbDhbH9Cz0tuDiY8C3ctxq1tqvaCgkFb8cCA/edit#gid=346597447"",""สกลนคร!J557"")"),0)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IFERROR(__xludf.DUMMYFUNCTION("IMPORTRANGE(""https://docs.google.com/spreadsheets/d/1XL5vhW3sbDhbH9Cz0tuDiY8C3ctxq1tqvaCgkFb8cCA/edit#gid=346597447"",""สกลนคร!I558"")"),0)</f>
        <v>0</v>
      </c>
      <c r="J663" s="586">
        <f ca="1">IFERROR(__xludf.DUMMYFUNCTION("IMPORTRANGE(""https://docs.google.com/spreadsheets/d/1XL5vhW3sbDhbH9Cz0tuDiY8C3ctxq1tqvaCgkFb8cCA/edit#gid=346597447"",""สกลนคร!J558"")"),0)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IFERROR(__xludf.DUMMYFUNCTION("IMPORTRANGE(""https://docs.google.com/spreadsheets/d/1XL5vhW3sbDhbH9Cz0tuDiY8C3ctxq1tqvaCgkFb8cCA/edit#gid=346597447"",""สกลนคร!I560"")"),0)</f>
        <v>0</v>
      </c>
      <c r="J665" s="586">
        <f ca="1">IFERROR(__xludf.DUMMYFUNCTION("IMPORTRANGE(""https://docs.google.com/spreadsheets/d/1XL5vhW3sbDhbH9Cz0tuDiY8C3ctxq1tqvaCgkFb8cCA/edit#gid=346597447"",""สกลนคร!J560"")"),0)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IFERROR(__xludf.DUMMYFUNCTION("IMPORTRANGE(""https://docs.google.com/spreadsheets/d/1XL5vhW3sbDhbH9Cz0tuDiY8C3ctxq1tqvaCgkFb8cCA/edit#gid=346597447"",""สกลนคร!L560"")"),0)</f>
        <v>0</v>
      </c>
      <c r="M665" s="571"/>
      <c r="N665" s="588">
        <f ca="1">IFERROR(__xludf.DUMMYFUNCTION("IMPORTRANGE(""https://docs.google.com/spreadsheets/d/1XL5vhW3sbDhbH9Cz0tuDiY8C3ctxq1tqvaCgkFb8cCA/edit#gid=346597447"",""สกลนคร!M560"")"),0)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IFERROR(__xludf.DUMMYFUNCTION("IMPORTRANGE(""https://docs.google.com/spreadsheets/d/1XL5vhW3sbDhbH9Cz0tuDiY8C3ctxq1tqvaCgkFb8cCA/edit#gid=346597447"",""สกลนคร!J561"")"),0)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IFERROR(__xludf.DUMMYFUNCTION("IMPORTRANGE(""https://docs.google.com/spreadsheets/d/1XL5vhW3sbDhbH9Cz0tuDiY8C3ctxq1tqvaCgkFb8cCA/edit#gid=346597447"",""สกลนคร!J562"")"),0)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IFERROR(__xludf.DUMMYFUNCTION("IMPORTRANGE(""https://docs.google.com/spreadsheets/d/1XL5vhW3sbDhbH9Cz0tuDiY8C3ctxq1tqvaCgkFb8cCA/edit#gid=346597447"",""สกลนคร!I563"")"),0)</f>
        <v>0</v>
      </c>
      <c r="J668" s="586">
        <f ca="1">IFERROR(__xludf.DUMMYFUNCTION("IMPORTRANGE(""https://docs.google.com/spreadsheets/d/1XL5vhW3sbDhbH9Cz0tuDiY8C3ctxq1tqvaCgkFb8cCA/edit#gid=346597447"",""สกลนคร!J563"")"),0)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IFERROR(__xludf.DUMMYFUNCTION("IMPORTRANGE(""https://docs.google.com/spreadsheets/d/1XL5vhW3sbDhbH9Cz0tuDiY8C3ctxq1tqvaCgkFb8cCA/edit#gid=346597447"",""สกลนคร!L563"")"),0)</f>
        <v>0</v>
      </c>
      <c r="M668" s="571"/>
      <c r="N668" s="588">
        <f ca="1">IFERROR(__xludf.DUMMYFUNCTION("IMPORTRANGE(""https://docs.google.com/spreadsheets/d/1XL5vhW3sbDhbH9Cz0tuDiY8C3ctxq1tqvaCgkFb8cCA/edit#gid=346597447"",""สกลนคร!M563"")"),0)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IFERROR(__xludf.DUMMYFUNCTION("IMPORTRANGE(""https://docs.google.com/spreadsheets/d/1XL5vhW3sbDhbH9Cz0tuDiY8C3ctxq1tqvaCgkFb8cCA/edit#gid=346597447"",""สกลนคร!J564"")"),0)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IFERROR(__xludf.DUMMYFUNCTION("IMPORTRANGE(""https://docs.google.com/spreadsheets/d/1XL5vhW3sbDhbH9Cz0tuDiY8C3ctxq1tqvaCgkFb8cCA/edit#gid=346597447"",""สกลนคร!J565"")"),0)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IFERROR(__xludf.DUMMYFUNCTION("IMPORTRANGE(""https://docs.google.com/spreadsheets/d/1XL5vhW3sbDhbH9Cz0tuDiY8C3ctxq1tqvaCgkFb8cCA/edit#gid=346597447"",""สกลนคร!I566"")"),0)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IFERROR(__xludf.DUMMYFUNCTION("IMPORTRANGE(""https://docs.google.com/spreadsheets/d/1XL5vhW3sbDhbH9Cz0tuDiY8C3ctxq1tqvaCgkFb8cCA/edit#gid=346597447"",""สกลนคร!L566"")"),0)</f>
        <v>0</v>
      </c>
      <c r="M671" s="571"/>
      <c r="N671" s="588">
        <f ca="1">IFERROR(__xludf.DUMMYFUNCTION("IMPORTRANGE(""https://docs.google.com/spreadsheets/d/1XL5vhW3sbDhbH9Cz0tuDiY8C3ctxq1tqvaCgkFb8cCA/edit#gid=346597447"",""สกลนคร!M566"")"),0)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IFERROR(__xludf.DUMMYFUNCTION("IMPORTRANGE(""https://docs.google.com/spreadsheets/d/1XL5vhW3sbDhbH9Cz0tuDiY8C3ctxq1tqvaCgkFb8cCA/edit#gid=346597447"",""สกลนคร!J567"")"),0)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IFERROR(__xludf.DUMMYFUNCTION("IMPORTRANGE(""https://docs.google.com/spreadsheets/d/1XL5vhW3sbDhbH9Cz0tuDiY8C3ctxq1tqvaCgkFb8cCA/edit#gid=346597447"",""สกลนคร!J568"")"),0)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IFERROR(__xludf.DUMMYFUNCTION("IMPORTRANGE(""https://docs.google.com/spreadsheets/d/1XL5vhW3sbDhbH9Cz0tuDiY8C3ctxq1tqvaCgkFb8cCA/edit#gid=346597447"",""สกลนคร!J569"")"),0)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IFERROR(__xludf.DUMMYFUNCTION("IMPORTRANGE(""https://docs.google.com/spreadsheets/d/1XL5vhW3sbDhbH9Cz0tuDiY8C3ctxq1tqvaCgkFb8cCA/edit#gid=346597447"",""สกลนคร!J570"")"),0)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IFERROR(__xludf.DUMMYFUNCTION("IMPORTRANGE(""https://docs.google.com/spreadsheets/d/1XL5vhW3sbDhbH9Cz0tuDiY8C3ctxq1tqvaCgkFb8cCA/edit#gid=346597447"",""สกลนคร!J571"")"),0)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IFERROR(__xludf.DUMMYFUNCTION("IMPORTRANGE(""https://docs.google.com/spreadsheets/d/1XL5vhW3sbDhbH9Cz0tuDiY8C3ctxq1tqvaCgkFb8cCA/edit#gid=346597447"",""สกลนคร!J572"")"),0)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7481401</v>
      </c>
      <c r="M8" s="23">
        <f t="shared" ca="1" si="0"/>
        <v>4664756</v>
      </c>
      <c r="N8" s="23">
        <f t="shared" ca="1" si="0"/>
        <v>6347225.6099999994</v>
      </c>
      <c r="O8" s="22">
        <f t="shared" ref="O8:O16" ca="1" si="1">IF(L8&gt;0,N8*100/L8,0)</f>
        <v>84.840066853788485</v>
      </c>
      <c r="P8" s="22">
        <f t="shared" ref="P8:P16" ca="1" si="2">IF(M8&gt;0,N8*100/M8,0)</f>
        <v>136.06768735599462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7481401</v>
      </c>
      <c r="M10" s="30">
        <f t="shared" ca="1" si="4"/>
        <v>4664756</v>
      </c>
      <c r="N10" s="30">
        <f t="shared" ca="1" si="4"/>
        <v>6347225.6099999994</v>
      </c>
      <c r="O10" s="29">
        <f t="shared" ca="1" si="1"/>
        <v>84.840066853788485</v>
      </c>
      <c r="P10" s="29">
        <f t="shared" ca="1" si="2"/>
        <v>136.06768735599462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6344111</v>
      </c>
      <c r="M12" s="38">
        <f t="shared" ca="1" si="6"/>
        <v>3527466</v>
      </c>
      <c r="N12" s="38">
        <f t="shared" ca="1" si="6"/>
        <v>5314279.6099999994</v>
      </c>
      <c r="O12" s="38">
        <f t="shared" ca="1" si="1"/>
        <v>83.767128444001045</v>
      </c>
      <c r="P12" s="38">
        <f t="shared" ca="1" si="2"/>
        <v>150.65431133850757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4382111</v>
      </c>
      <c r="M14" s="38">
        <f t="shared" si="8"/>
        <v>0</v>
      </c>
      <c r="N14" s="38">
        <f t="shared" ca="1" si="8"/>
        <v>2400845.0699999998</v>
      </c>
      <c r="O14" s="38">
        <f t="shared" ca="1" si="1"/>
        <v>54.787408853860612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1137290</v>
      </c>
      <c r="M16" s="38">
        <f t="shared" ca="1" si="10"/>
        <v>1137290</v>
      </c>
      <c r="N16" s="38">
        <f t="shared" ca="1" si="10"/>
        <v>1032946</v>
      </c>
      <c r="O16" s="49">
        <f t="shared" ca="1" si="1"/>
        <v>90.825207291016369</v>
      </c>
      <c r="P16" s="49">
        <f t="shared" ca="1" si="2"/>
        <v>90.825207291016369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4558310</v>
      </c>
      <c r="M18" s="23">
        <f t="shared" ca="1" si="11"/>
        <v>4664756</v>
      </c>
      <c r="N18" s="23">
        <f t="shared" ca="1" si="11"/>
        <v>3946380.54</v>
      </c>
      <c r="O18" s="22">
        <f t="shared" ref="O18:O20" ca="1" si="12">IF(L18&gt;0,N18*100/L18,0)</f>
        <v>86.575518997172196</v>
      </c>
      <c r="P18" s="22">
        <f t="shared" ref="P18:P26" ca="1" si="13">IF(M18&gt;0,N18*100/M18,0)</f>
        <v>84.599934916209975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4558310</v>
      </c>
      <c r="M20" s="30">
        <f t="shared" ca="1" si="15"/>
        <v>4664756</v>
      </c>
      <c r="N20" s="30">
        <f t="shared" ca="1" si="15"/>
        <v>3946380.54</v>
      </c>
      <c r="O20" s="29">
        <f t="shared" ca="1" si="12"/>
        <v>86.575518997172196</v>
      </c>
      <c r="P20" s="29">
        <f t="shared" ca="1" si="13"/>
        <v>84.599934916209975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3421020</v>
      </c>
      <c r="M22" s="41">
        <f t="shared" ca="1" si="18"/>
        <v>3527466</v>
      </c>
      <c r="N22" s="38">
        <f t="shared" ca="1" si="18"/>
        <v>2913434.54</v>
      </c>
      <c r="O22" s="38">
        <f t="shared" ca="1" si="17"/>
        <v>85.162745029260279</v>
      </c>
      <c r="P22" s="38">
        <f t="shared" ca="1" si="13"/>
        <v>82.592845402336977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1459020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1137290</v>
      </c>
      <c r="M26" s="49">
        <f t="shared" ca="1" si="22"/>
        <v>1137290</v>
      </c>
      <c r="N26" s="49">
        <f t="shared" ca="1" si="22"/>
        <v>1032946</v>
      </c>
      <c r="O26" s="49">
        <f t="shared" ca="1" si="17"/>
        <v>90.825207291016369</v>
      </c>
      <c r="P26" s="49">
        <f t="shared" ca="1" si="13"/>
        <v>90.825207291016369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2923091</v>
      </c>
      <c r="M28" s="23">
        <f t="shared" si="23"/>
        <v>0</v>
      </c>
      <c r="N28" s="23">
        <f t="shared" ca="1" si="23"/>
        <v>2400845.0699999998</v>
      </c>
      <c r="O28" s="22">
        <f t="shared" ref="O28:O30" ca="1" si="24">IF(L28&gt;0,N28*100/L28,0)</f>
        <v>82.133777908385326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2923091</v>
      </c>
      <c r="M30" s="30">
        <f t="shared" si="27"/>
        <v>0</v>
      </c>
      <c r="N30" s="30">
        <f t="shared" ca="1" si="27"/>
        <v>2400845.0699999998</v>
      </c>
      <c r="O30" s="29">
        <f t="shared" ca="1" si="24"/>
        <v>82.133777908385326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2923091</v>
      </c>
      <c r="M32" s="38">
        <f t="shared" si="30"/>
        <v>0</v>
      </c>
      <c r="N32" s="38">
        <f t="shared" ca="1" si="30"/>
        <v>2400845.0699999998</v>
      </c>
      <c r="O32" s="38">
        <f t="shared" ca="1" si="29"/>
        <v>82.133777908385326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2923091</v>
      </c>
      <c r="M34" s="38">
        <f t="shared" si="32"/>
        <v>0</v>
      </c>
      <c r="N34" s="38">
        <f t="shared" ca="1" si="32"/>
        <v>2400845.0699999998</v>
      </c>
      <c r="O34" s="38">
        <f t="shared" ca="1" si="29"/>
        <v>82.133777908385326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4558310</v>
      </c>
      <c r="M37" s="54">
        <f t="shared" ca="1" si="33"/>
        <v>4664756</v>
      </c>
      <c r="N37" s="54">
        <f t="shared" ca="1" si="33"/>
        <v>3946380.54</v>
      </c>
      <c r="O37" s="55">
        <f t="shared" ca="1" si="29"/>
        <v>86.575518997172196</v>
      </c>
      <c r="P37" s="55">
        <f t="shared" ca="1" si="25"/>
        <v>84.599934916209975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1874100</v>
      </c>
      <c r="M41" s="78">
        <f t="shared" ca="1" si="34"/>
        <v>1874100</v>
      </c>
      <c r="N41" s="78">
        <f t="shared" ca="1" si="34"/>
        <v>1685863.88</v>
      </c>
      <c r="O41" s="77">
        <f t="shared" ref="O41:O43" ca="1" si="35">IF(L41&gt;0,N41*100/L41,0)</f>
        <v>89.955919107838426</v>
      </c>
      <c r="P41" s="77">
        <f t="shared" ref="P41:P43" ca="1" si="36">IF(M41&gt;0,N41*100/M41,0)</f>
        <v>89.955919107838426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1874100</v>
      </c>
      <c r="M43" s="78">
        <f t="shared" ca="1" si="38"/>
        <v>1874100</v>
      </c>
      <c r="N43" s="78">
        <f t="shared" ca="1" si="38"/>
        <v>1685863.88</v>
      </c>
      <c r="O43" s="77">
        <f t="shared" ca="1" si="35"/>
        <v>89.955919107838426</v>
      </c>
      <c r="P43" s="77">
        <f t="shared" ca="1" si="36"/>
        <v>89.955919107838426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623">
        <f ca="1">IFERROR(__xludf.DUMMYFUNCTION("IMPORTRANGE(""https://docs.google.com/spreadsheets/d/1Yj_ptqi66GCucihVvJfMjLAmec39IyEx_6qawtMGysU/edit?usp=sharing"",""สบก!Q52"")"),774100)</f>
        <v>774100</v>
      </c>
      <c r="N45" s="623">
        <f ca="1">IFERROR(__xludf.DUMMYFUNCTION("IMPORTRANGE(""https://docs.google.com/spreadsheets/d/1Yj_ptqi66GCucihVvJfMjLAmec39IyEx_6qawtMGysU/edit?usp=sharing"",""สบก!R52"")"),690207.88)</f>
        <v>690207.88</v>
      </c>
      <c r="O45" s="624">
        <f ca="1">IF(L45&gt;0,N45*100/L45,0)</f>
        <v>89.162624983852211</v>
      </c>
      <c r="P45" s="624">
        <f ca="1">IF(M45&gt;0,N45*100/M45,0)</f>
        <v>89.162624983852211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IFERROR(__xludf.DUMMYFUNCTION("IMPORTRANGE(""https://docs.google.com/spreadsheets/d/1Yj_ptqi66GCucihVvJfMjLAmec39IyEx_6qawtMGysU/edit?usp=sharing"",""สบก!M52"")"),774100)</f>
        <v>774100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IFERROR(__xludf.DUMMYFUNCTION("IMPORTRANGE(""https://docs.google.com/spreadsheets/d/1Yj_ptqi66GCucihVvJfMjLAmec39IyEx_6qawtMGysU/edit?usp=sharing"",""สบก!N52"")"),0)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IFERROR(__xludf.DUMMYFUNCTION("IMPORTRANGE(""https://docs.google.com/spreadsheets/d/1Yj_ptqi66GCucihVvJfMjLAmec39IyEx_6qawtMGysU/edit?usp=sharing"",""สบก!O52"")"),1100000)</f>
        <v>1100000</v>
      </c>
      <c r="M49" s="626">
        <f ca="1">L49</f>
        <v>1100000</v>
      </c>
      <c r="N49" s="623">
        <f ca="1">IFERROR(__xludf.DUMMYFUNCTION("IMPORTRANGE(""https://docs.google.com/spreadsheets/d/1Yj_ptqi66GCucihVvJfMjLAmec39IyEx_6qawtMGysU/edit?usp=sharing"",""สบก!S52"")"),995656)</f>
        <v>995656</v>
      </c>
      <c r="O49" s="626">
        <f ca="1">IF(L49&gt;0,N49*100/L49,0)</f>
        <v>90.514181818181825</v>
      </c>
      <c r="P49" s="626">
        <f ca="1">IF(M49&gt;0,N49*100/M49,0)</f>
        <v>90.514181818181825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448296</v>
      </c>
      <c r="N53" s="121">
        <f t="shared" ca="1" si="39"/>
        <v>393786</v>
      </c>
      <c r="O53" s="120">
        <f t="shared" ref="O53:O55" ca="1" si="40">IF(L53&gt;0,N53*100/L53,0)</f>
        <v>91.920168067226896</v>
      </c>
      <c r="P53" s="120">
        <f t="shared" ref="P53:P55" ca="1" si="41">IF(M53&gt;0,N53*100/M53,0)</f>
        <v>87.840623159698055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448296</v>
      </c>
      <c r="N55" s="121">
        <f t="shared" ca="1" si="43"/>
        <v>393786</v>
      </c>
      <c r="O55" s="120">
        <f t="shared" ca="1" si="40"/>
        <v>91.920168067226896</v>
      </c>
      <c r="P55" s="120">
        <f t="shared" ca="1" si="41"/>
        <v>87.840623159698055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623">
        <f ca="1">IFERROR(__xludf.DUMMYFUNCTION("IMPORTRANGE(""https://docs.google.com/spreadsheets/d/1Yj_ptqi66GCucihVvJfMjLAmec39IyEx_6qawtMGysU/edit?usp=sharing"",""สบก!Z52"")"),448296)</f>
        <v>448296</v>
      </c>
      <c r="N57" s="623">
        <f ca="1">IFERROR(__xludf.DUMMYFUNCTION("IMPORTRANGE(""https://docs.google.com/spreadsheets/d/1Yj_ptqi66GCucihVvJfMjLAmec39IyEx_6qawtMGysU/edit?usp=sharing"",""สบก!AA52"")"),393786)</f>
        <v>393786</v>
      </c>
      <c r="O57" s="624">
        <f ca="1">IF(L57&gt;0,N57*100/L57,0)</f>
        <v>91.920168067226896</v>
      </c>
      <c r="P57" s="624">
        <f ca="1">IF(M57&gt;0,N57*100/M57,0)</f>
        <v>87.840623159698055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IFERROR(__xludf.DUMMYFUNCTION("IMPORTRANGE(""https://docs.google.com/spreadsheets/d/1Yj_ptqi66GCucihVvJfMjLAmec39IyEx_6qawtMGysU/edit?usp=sharing"",""สบก!V52"")"),428400)</f>
        <v>428400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IFERROR(__xludf.DUMMYFUNCTION("IMPORTRANGE(""https://docs.google.com/spreadsheets/d/1Yj_ptqi66GCucihVvJfMjLAmec39IyEx_6qawtMGysU/edit?usp=sharing"",""สบก!W52"")"),0)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IFERROR(__xludf.DUMMYFUNCTION("IMPORTRANGE(""https://docs.google.com/spreadsheets/d/1Yj_ptqi66GCucihVvJfMjLAmec39IyEx_6qawtMGysU/edit?usp=sharing"",""สบก!X52"")"),0)</f>
        <v>0</v>
      </c>
      <c r="M61" s="626"/>
      <c r="N61" s="623">
        <f ca="1">IFERROR(__xludf.DUMMYFUNCTION("IMPORTRANGE(""https://docs.google.com/spreadsheets/d/1Yj_ptqi66GCucihVvJfMjLAmec39IyEx_6qawtMGysU/edit?usp=sharing"",""สบก!AB52"")"),0)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279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IFERROR(__xludf.DUMMYFUNCTION("IMPORTRANGE(""https://docs.google.com/spreadsheets/d/1Yj_ptqi66GCucihVvJfMjLAmec39IyEx_6qawtMGysU/edit?usp=sharing"",""สบก!AI52"")"),0)</f>
        <v>0</v>
      </c>
      <c r="N70" s="628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IFERROR(__xludf.DUMMYFUNCTION("IMPORTRANGE(""https://docs.google.com/spreadsheets/d/1Yj_ptqi66GCucihVvJfMjLAmec39IyEx_6qawtMGysU/edit?usp=sharing"",""สบก!AG52"")"),0)</f>
        <v>0</v>
      </c>
      <c r="M74" s="626"/>
      <c r="N74" s="623">
        <f ca="1">IFERROR(__xludf.DUMMYFUNCTION("IMPORTRANGE(""https://docs.google.com/spreadsheets/d/1Yj_ptqi66GCucihVvJfMjLAmec39IyEx_6qawtMGysU/edit?usp=sharing"",""สบก!AK52"")"),0)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IFERROR(__xludf.DUMMYFUNCTION("IMPORTRANGE(""https://docs.google.com/spreadsheets/d/1Yj_ptqi66GCucihVvJfMjLAmec39IyEx_6qawtMGysU/edit?usp=sharing"",""สบก!AR52"")"),0)</f>
        <v>0</v>
      </c>
      <c r="N98" s="628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IFERROR(__xludf.DUMMYFUNCTION("IMPORTRANGE(""https://docs.google.com/spreadsheets/d/1Yj_ptqi66GCucihVvJfMjLAmec39IyEx_6qawtMGysU/edit?usp=sharing"",""สบก!AP52"")"),0)</f>
        <v>0</v>
      </c>
      <c r="M102" s="626"/>
      <c r="N102" s="623">
        <f ca="1">IFERROR(__xludf.DUMMYFUNCTION("IMPORTRANGE(""https://docs.google.com/spreadsheets/d/1Yj_ptqi66GCucihVvJfMjLAmec39IyEx_6qawtMGysU/edit?usp=sharing"",""สบก!AT52"")"),0)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IFERROR(__xludf.DUMMYFUNCTION("IMPORTRANGE(""https://docs.google.com/spreadsheets/d/1Yj_ptqi66GCucihVvJfMjLAmec39IyEx_6qawtMGysU/edit?usp=sharing"",""สบก!BA52"")"),0)</f>
        <v>0</v>
      </c>
      <c r="N122" s="628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IFERROR(__xludf.DUMMYFUNCTION("IMPORTRANGE(""https://docs.google.com/spreadsheets/d/1Yj_ptqi66GCucihVvJfMjLAmec39IyEx_6qawtMGysU/edit?usp=sharing"",""สบก!AY52"")"),0)</f>
        <v>0</v>
      </c>
      <c r="M126" s="626"/>
      <c r="N126" s="623">
        <f ca="1">IFERROR(__xludf.DUMMYFUNCTION("IMPORTRANGE(""https://docs.google.com/spreadsheets/d/1Yj_ptqi66GCucihVvJfMjLAmec39IyEx_6qawtMGysU/edit?usp=sharing"",""สบก!BC52"")"),0)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117900</v>
      </c>
      <c r="M140" s="152">
        <f t="shared" ca="1" si="64"/>
        <v>125900</v>
      </c>
      <c r="N140" s="152">
        <f t="shared" ca="1" si="64"/>
        <v>108640</v>
      </c>
      <c r="O140" s="151">
        <f t="shared" ref="O140:O142" ca="1" si="65">IF(L140&gt;0,N140*100/L140,0)</f>
        <v>92.145886344359624</v>
      </c>
      <c r="P140" s="151">
        <f t="shared" ref="P140:P142" ca="1" si="66">IF(M140&gt;0,N140*100/M140,0)</f>
        <v>86.290706910246229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117900</v>
      </c>
      <c r="M142" s="157">
        <f t="shared" ca="1" si="68"/>
        <v>125900</v>
      </c>
      <c r="N142" s="157">
        <f t="shared" ca="1" si="68"/>
        <v>108640</v>
      </c>
      <c r="O142" s="156">
        <f t="shared" ca="1" si="65"/>
        <v>92.145886344359624</v>
      </c>
      <c r="P142" s="156">
        <f t="shared" ca="1" si="66"/>
        <v>86.290706910246229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117900</v>
      </c>
      <c r="M144" s="627">
        <f ca="1">IFERROR(__xludf.DUMMYFUNCTION("IMPORTRANGE(""https://docs.google.com/spreadsheets/d/1Yj_ptqi66GCucihVvJfMjLAmec39IyEx_6qawtMGysU/edit?usp=sharing"",""สบก!BJ52"")"),125900)</f>
        <v>125900</v>
      </c>
      <c r="N144" s="628">
        <f ca="1">IFERROR(__xludf.DUMMYFUNCTION("IMPORTRANGE(""https://docs.google.com/spreadsheets/d/1Yj_ptqi66GCucihVvJfMjLAmec39IyEx_6qawtMGysU/edit?usp=sharing"",""สบก!BK52"")"),108640)</f>
        <v>108640</v>
      </c>
      <c r="O144" s="169">
        <f ca="1">IF(L144&gt;0,N144*100/L144,0)</f>
        <v>92.145886344359624</v>
      </c>
      <c r="P144" s="169">
        <f ca="1">IF(M144&gt;0,N144*100/M144,0)</f>
        <v>86.290706910246229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IFERROR(__xludf.DUMMYFUNCTION("IMPORTRANGE(""https://docs.google.com/spreadsheets/d/1Yj_ptqi66GCucihVvJfMjLAmec39IyEx_6qawtMGysU/edit?usp=sharing"",""สบก!BG52"")"),117900)</f>
        <v>117900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IFERROR(__xludf.DUMMYFUNCTION("IMPORTRANGE(""https://docs.google.com/spreadsheets/d/1Yj_ptqi66GCucihVvJfMjLAmec39IyEx_6qawtMGysU/edit?usp=sharing"",""สบก!BH52"")"),0)</f>
        <v>0</v>
      </c>
      <c r="M148" s="626"/>
      <c r="N148" s="623">
        <f ca="1">IFERROR(__xludf.DUMMYFUNCTION("IMPORTRANGE(""https://docs.google.com/spreadsheets/d/1Yj_ptqi66GCucihVvJfMjLAmec39IyEx_6qawtMGysU/edit?usp=sharing"",""สบก!BL52"")"),0)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IFERROR(__xludf.DUMMYFUNCTION("IMPORTRANGE(""https://docs.google.com/spreadsheets/d/1XL5vhW3sbDhbH9Cz0tuDiY8C3ctxq1tqvaCgkFb8cCA/edit?usp=sharing"",""สุรินทร์!J84"")"),163)</f>
        <v>163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IFERROR(__xludf.DUMMYFUNCTION("IMPORTRANGE(""https://docs.google.com/spreadsheets/d/1XL5vhW3sbDhbH9Cz0tuDiY8C3ctxq1tqvaCgkFb8cCA/edit?usp=sharing"",""สุรินทร์!J85"")"),163)</f>
        <v>163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IFERROR(__xludf.DUMMYFUNCTION("IMPORTRANGE(""https://docs.google.com/spreadsheets/d/1XL5vhW3sbDhbH9Cz0tuDiY8C3ctxq1tqvaCgkFb8cCA/edit?usp=sharing"",""สุรินทร์!J88"")"),0)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IFERROR(__xludf.DUMMYFUNCTION("IMPORTRANGE(""https://docs.google.com/spreadsheets/d/1XL5vhW3sbDhbH9Cz0tuDiY8C3ctxq1tqvaCgkFb8cCA/edit?usp=sharing"",""สุรินทร์!I89"")"),3)</f>
        <v>3</v>
      </c>
      <c r="J164" s="285">
        <f ca="1">IFERROR(__xludf.DUMMYFUNCTION("IMPORTRANGE(""https://docs.google.com/spreadsheets/d/1XL5vhW3sbDhbH9Cz0tuDiY8C3ctxq1tqvaCgkFb8cCA/edit?usp=sharing"",""สุรินทร์!J89"")"),3)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IFERROR(__xludf.DUMMYFUNCTION("IMPORTRANGE(""https://docs.google.com/spreadsheets/d/1XL5vhW3sbDhbH9Cz0tuDiY8C3ctxq1tqvaCgkFb8cCA/edit?usp=sharing"",""สุรินทร์!I101"")"),4)</f>
        <v>4</v>
      </c>
      <c r="J176" s="285">
        <f ca="1">IFERROR(__xludf.DUMMYFUNCTION("IMPORTRANGE(""https://docs.google.com/spreadsheets/d/1XL5vhW3sbDhbH9Cz0tuDiY8C3ctxq1tqvaCgkFb8cCA/edit?usp=sharing"",""สุรินทร์!J101"")"),4)</f>
        <v>4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IFERROR(__xludf.DUMMYFUNCTION("IMPORTRANGE(""https://docs.google.com/spreadsheets/d/1XL5vhW3sbDhbH9Cz0tuDiY8C3ctxq1tqvaCgkFb8cCA/edit?usp=sharing"",""สุรินทร์!J110"")"),4)</f>
        <v>4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IFERROR(__xludf.DUMMYFUNCTION("IMPORTRANGE(""https://docs.google.com/spreadsheets/d/1XL5vhW3sbDhbH9Cz0tuDiY8C3ctxq1tqvaCgkFb8cCA/edit?usp=sharing"",""สุรินทร์!I114"")"),15000)</f>
        <v>15000</v>
      </c>
      <c r="J189" s="285">
        <f ca="1">IFERROR(__xludf.DUMMYFUNCTION("IMPORTRANGE(""https://docs.google.com/spreadsheets/d/1XL5vhW3sbDhbH9Cz0tuDiY8C3ctxq1tqvaCgkFb8cCA/edit?usp=sharing"",""สุรินทร์!J114"")"),15000)</f>
        <v>15000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IFERROR(__xludf.DUMMYFUNCTION("IMPORTRANGE(""https://docs.google.com/spreadsheets/d/1XL5vhW3sbDhbH9Cz0tuDiY8C3ctxq1tqvaCgkFb8cCA/edit?usp=sharing"",""สุรินทร์!J124"")"),15000)</f>
        <v>15000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IFERROR(__xludf.DUMMYFUNCTION("IMPORTRANGE(""https://docs.google.com/spreadsheets/d/1XL5vhW3sbDhbH9Cz0tuDiY8C3ctxq1tqvaCgkFb8cCA/edit?usp=sharing"",""สุรินทร์!J125"")"),15000)</f>
        <v>15000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IFERROR(__xludf.DUMMYFUNCTION("IMPORTRANGE(""https://docs.google.com/spreadsheets/d/1XL5vhW3sbDhbH9Cz0tuDiY8C3ctxq1tqvaCgkFb8cCA/edit?usp=sharing"",""สุรินทร์!J128"")"),0)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IFERROR(__xludf.DUMMYFUNCTION("IMPORTRANGE(""https://docs.google.com/spreadsheets/d/1XL5vhW3sbDhbH9Cz0tuDiY8C3ctxq1tqvaCgkFb8cCA/edit?usp=sharing"",""สุรินทร์!I129"")"),0)</f>
        <v>0</v>
      </c>
      <c r="J204" s="285">
        <f ca="1">IFERROR(__xludf.DUMMYFUNCTION("IMPORTRANGE(""https://docs.google.com/spreadsheets/d/1XL5vhW3sbDhbH9Cz0tuDiY8C3ctxq1tqvaCgkFb8cCA/edit?usp=sharing"",""สุรินทร์!J129"")"),0)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IFERROR(__xludf.DUMMYFUNCTION("IMPORTRANGE(""https://docs.google.com/spreadsheets/d/1Yj_ptqi66GCucihVvJfMjLAmec39IyEx_6qawtMGysU/edit?usp=sharing"",""สบก!BS52"")"),20210)</f>
        <v>20210</v>
      </c>
      <c r="N224" s="628">
        <f ca="1">IFERROR(__xludf.DUMMYFUNCTION("IMPORTRANGE(""https://docs.google.com/spreadsheets/d/1Yj_ptqi66GCucihVvJfMjLAmec39IyEx_6qawtMGysU/edit?usp=sharing"",""สบก!BT52"")"),20210)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IFERROR(__xludf.DUMMYFUNCTION("IMPORTRANGE(""https://docs.google.com/spreadsheets/d/1Yj_ptqi66GCucihVvJfMjLAmec39IyEx_6qawtMGysU/edit?usp=sharing"",""สบก!BP52"")"),20210)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IFERROR(__xludf.DUMMYFUNCTION("IMPORTRANGE(""https://docs.google.com/spreadsheets/d/1Yj_ptqi66GCucihVvJfMjLAmec39IyEx_6qawtMGysU/edit?usp=sharing"",""สบก!BQ52"")"),0)</f>
        <v>0</v>
      </c>
      <c r="M228" s="626"/>
      <c r="N228" s="623">
        <f ca="1">IFERROR(__xludf.DUMMYFUNCTION("IMPORTRANGE(""https://docs.google.com/spreadsheets/d/1Yj_ptqi66GCucihVvJfMjLAmec39IyEx_6qawtMGysU/edit?usp=sharing"",""สบก!BU52"")"),0)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IFERROR(__xludf.DUMMYFUNCTION("IMPORTRANGE(""https://docs.google.com/spreadsheets/d/1XL5vhW3sbDhbH9Cz0tuDiY8C3ctxq1tqvaCgkFb8cCA/edit?usp=sharing"",""สุรินทร์!I169"")"),0)</f>
        <v>0</v>
      </c>
      <c r="J249" s="317">
        <f ca="1">IFERROR(__xludf.DUMMYFUNCTION("IMPORTRANGE(""https://docs.google.com/spreadsheets/d/1XL5vhW3sbDhbH9Cz0tuDiY8C3ctxq1tqvaCgkFb8cCA/edit?usp=sharing"",""สุรินทร์!J169"")"),0)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IFERROR(__xludf.DUMMYFUNCTION("IMPORTRANGE(""https://docs.google.com/spreadsheets/d/1Yj_ptqi66GCucihVvJfMjLAmec39IyEx_6qawtMGysU/edit?usp=sharing"",""สบก!CB52"")"),0)</f>
        <v>0</v>
      </c>
      <c r="N254" s="628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IFERROR(__xludf.DUMMYFUNCTION("IMPORTRANGE(""https://docs.google.com/spreadsheets/d/1Yj_ptqi66GCucihVvJfMjLAmec39IyEx_6qawtMGysU/edit?usp=sharing"",""สบก!BZ52"")"),0)</f>
        <v>0</v>
      </c>
      <c r="M258" s="626"/>
      <c r="N258" s="623">
        <f ca="1">IFERROR(__xludf.DUMMYFUNCTION("IMPORTRANGE(""https://docs.google.com/spreadsheets/d/1Yj_ptqi66GCucihVvJfMjLAmec39IyEx_6qawtMGysU/edit?usp=sharing"",""สบก!CD52"")"),0)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IFERROR(__xludf.DUMMYFUNCTION("IMPORTRANGE(""https://docs.google.com/spreadsheets/d/1XL5vhW3sbDhbH9Cz0tuDiY8C3ctxq1tqvaCgkFb8cCA/edit?usp=sharing"",""สุรินทร์!J184"")"),0)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IFERROR(__xludf.DUMMYFUNCTION("IMPORTRANGE(""https://docs.google.com/spreadsheets/d/1XL5vhW3sbDhbH9Cz0tuDiY8C3ctxq1tqvaCgkFb8cCA/edit?usp=sharing"",""สุรินทร์!I185"")"),15)</f>
        <v>15</v>
      </c>
      <c r="J270" s="317">
        <f ca="1">IFERROR(__xludf.DUMMYFUNCTION("IMPORTRANGE(""https://docs.google.com/spreadsheets/d/1XL5vhW3sbDhbH9Cz0tuDiY8C3ctxq1tqvaCgkFb8cCA/edit?usp=sharing"",""สุรินทร์!J185"")"),15)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IFERROR(__xludf.DUMMYFUNCTION("IMPORTRANGE(""https://docs.google.com/spreadsheets/d/1Yj_ptqi66GCucihVvJfMjLAmec39IyEx_6qawtMGysU/edit?usp=sharing"",""สบก!CK52"")"),55200)</f>
        <v>55200</v>
      </c>
      <c r="N275" s="628">
        <f ca="1">IFERROR(__xludf.DUMMYFUNCTION("IMPORTRANGE(""https://docs.google.com/spreadsheets/d/1Yj_ptqi66GCucihVvJfMjLAmec39IyEx_6qawtMGysU/edit?usp=sharing"",""สบก!CL52"")"),55200)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IFERROR(__xludf.DUMMYFUNCTION("IMPORTRANGE(""https://docs.google.com/spreadsheets/d/1Yj_ptqi66GCucihVvJfMjLAmec39IyEx_6qawtMGysU/edit?usp=sharing"",""สบก!CI52"")"),0)</f>
        <v>0</v>
      </c>
      <c r="M279" s="626"/>
      <c r="N279" s="623">
        <f ca="1">IFERROR(__xludf.DUMMYFUNCTION("IMPORTRANGE(""https://docs.google.com/spreadsheets/d/1Yj_ptqi66GCucihVvJfMjLAmec39IyEx_6qawtMGysU/edit?usp=sharing"",""สบก!CM52"")"),0)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IFERROR(__xludf.DUMMYFUNCTION("IMPORTRANGE(""https://docs.google.com/spreadsheets/d/1XL5vhW3sbDhbH9Cz0tuDiY8C3ctxq1tqvaCgkFb8cCA/edit?usp=sharing"",""สุรินทร์!I199"")"),0)</f>
        <v>0</v>
      </c>
      <c r="J289" s="317">
        <f ca="1">IFERROR(__xludf.DUMMYFUNCTION("IMPORTRANGE(""https://docs.google.com/spreadsheets/d/1XL5vhW3sbDhbH9Cz0tuDiY8C3ctxq1tqvaCgkFb8cCA/edit?usp=sharing"",""สุรินทร์!J199"")"),0)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IFERROR(__xludf.DUMMYFUNCTION("IMPORTRANGE(""https://docs.google.com/spreadsheets/d/1Yj_ptqi66GCucihVvJfMjLAmec39IyEx_6qawtMGysU/edit?usp=sharing"",""สบก!CT52"")"),0)</f>
        <v>0</v>
      </c>
      <c r="N294" s="628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IFERROR(__xludf.DUMMYFUNCTION("IMPORTRANGE(""https://docs.google.com/spreadsheets/d/1Yj_ptqi66GCucihVvJfMjLAmec39IyEx_6qawtMGysU/edit?usp=sharing"",""สบก!CR52"")"),0)</f>
        <v>0</v>
      </c>
      <c r="M298" s="626"/>
      <c r="N298" s="623">
        <f ca="1">IFERROR(__xludf.DUMMYFUNCTION("IMPORTRANGE(""https://docs.google.com/spreadsheets/d/1Yj_ptqi66GCucihVvJfMjLAmec39IyEx_6qawtMGysU/edit?usp=sharing"",""สบก!CV52"")"),0)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IFERROR(__xludf.DUMMYFUNCTION("IMPORTRANGE(""https://docs.google.com/spreadsheets/d/1XL5vhW3sbDhbH9Cz0tuDiY8C3ctxq1tqvaCgkFb8cCA/edit?usp=sharing"",""สุรินทร์!I214"")"),0)</f>
        <v>0</v>
      </c>
      <c r="J309" s="334">
        <f ca="1">IFERROR(__xludf.DUMMYFUNCTION("IMPORTRANGE(""https://docs.google.com/spreadsheets/d/1XL5vhW3sbDhbH9Cz0tuDiY8C3ctxq1tqvaCgkFb8cCA/edit?usp=sharing"",""สุรินทร์!J214"")"),0)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IFERROR(__xludf.DUMMYFUNCTION("IMPORTRANGE(""https://docs.google.com/spreadsheets/d/1Yj_ptqi66GCucihVvJfMjLAmec39IyEx_6qawtMGysU/edit?usp=sharing"",""สบก!DC52"")"),0)</f>
        <v>0</v>
      </c>
      <c r="N314" s="628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IFERROR(__xludf.DUMMYFUNCTION("IMPORTRANGE(""https://docs.google.com/spreadsheets/d/1Yj_ptqi66GCucihVvJfMjLAmec39IyEx_6qawtMGysU/edit?usp=sharing"",""สบก!DA52"")"),0)</f>
        <v>0</v>
      </c>
      <c r="M318" s="626"/>
      <c r="N318" s="623">
        <f ca="1">IFERROR(__xludf.DUMMYFUNCTION("IMPORTRANGE(""https://docs.google.com/spreadsheets/d/1Yj_ptqi66GCucihVvJfMjLAmec39IyEx_6qawtMGysU/edit?usp=sharing"",""สบก!DE52"")"),0)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IFERROR(__xludf.DUMMYFUNCTION("IMPORTRANGE(""https://docs.google.com/spreadsheets/d/1XL5vhW3sbDhbH9Cz0tuDiY8C3ctxq1tqvaCgkFb8cCA/edit?usp=sharing"",""สุรินทร์!I228"")"),1270)</f>
        <v>1270</v>
      </c>
      <c r="J328" s="340">
        <f ca="1">IFERROR(__xludf.DUMMYFUNCTION("IMPORTRANGE(""https://docs.google.com/spreadsheets/d/1XL5vhW3sbDhbH9Cz0tuDiY8C3ctxq1tqvaCgkFb8cCA/edit?usp=sharing"",""สุรินทร์!J228"")"),1056)</f>
        <v>1056</v>
      </c>
      <c r="K328" s="318">
        <f ca="1">IF(I328&gt;0,J328*100/I328,0)</f>
        <v>83.149606299212593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2062500</v>
      </c>
      <c r="M329" s="152">
        <f t="shared" ca="1" si="98"/>
        <v>2141050</v>
      </c>
      <c r="N329" s="152">
        <f t="shared" ca="1" si="98"/>
        <v>1682680.66</v>
      </c>
      <c r="O329" s="151">
        <f t="shared" ref="O329:O331" ca="1" si="99">IF(L329&gt;0,N329*100/L329,0)</f>
        <v>81.584516848484853</v>
      </c>
      <c r="P329" s="151">
        <f t="shared" ref="P329:P331" ca="1" si="100">IF(M329&gt;0,N329*100/M329,0)</f>
        <v>78.591376193923537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2062500</v>
      </c>
      <c r="M331" s="157">
        <f t="shared" ca="1" si="102"/>
        <v>2141050</v>
      </c>
      <c r="N331" s="157">
        <f t="shared" ca="1" si="102"/>
        <v>1682680.66</v>
      </c>
      <c r="O331" s="156">
        <f t="shared" ca="1" si="99"/>
        <v>81.584516848484853</v>
      </c>
      <c r="P331" s="156">
        <f t="shared" ca="1" si="100"/>
        <v>78.591376193923537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2025210</v>
      </c>
      <c r="M333" s="627">
        <f ca="1">IFERROR(__xludf.DUMMYFUNCTION("IMPORTRANGE(""https://docs.google.com/spreadsheets/d/1Yj_ptqi66GCucihVvJfMjLAmec39IyEx_6qawtMGysU/edit?usp=sharing"",""สบก!DL52"")"),2103760)</f>
        <v>2103760</v>
      </c>
      <c r="N333" s="628">
        <f ca="1">IFERROR(__xludf.DUMMYFUNCTION("IMPORTRANGE(""https://docs.google.com/spreadsheets/d/1Yj_ptqi66GCucihVvJfMjLAmec39IyEx_6qawtMGysU/edit?usp=sharing"",""สบก!DM52"")"),1645390.66)</f>
        <v>1645390.66</v>
      </c>
      <c r="O333" s="169">
        <f ca="1">IF(L333&gt;0,N333*100/L333,0)</f>
        <v>81.245434300640426</v>
      </c>
      <c r="P333" s="169">
        <f ca="1">IF(M333&gt;0,N333*100/M333,0)</f>
        <v>78.21189964634749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IFERROR(__xludf.DUMMYFUNCTION("IMPORTRANGE(""https://docs.google.com/spreadsheets/d/1Yj_ptqi66GCucihVvJfMjLAmec39IyEx_6qawtMGysU/edit?usp=sharing"",""สบก!DI52"")"),1265710)</f>
        <v>1265710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IFERROR(__xludf.DUMMYFUNCTION("IMPORTRANGE(""https://docs.google.com/spreadsheets/d/1Yj_ptqi66GCucihVvJfMjLAmec39IyEx_6qawtMGysU/edit?usp=sharing"",""สบก!DJ52"")"),37290)</f>
        <v>37290</v>
      </c>
      <c r="M337" s="626">
        <f ca="1">L337</f>
        <v>37290</v>
      </c>
      <c r="N337" s="623">
        <f ca="1">IFERROR(__xludf.DUMMYFUNCTION("IMPORTRANGE(""https://docs.google.com/spreadsheets/d/1Yj_ptqi66GCucihVvJfMjLAmec39IyEx_6qawtMGysU/edit?usp=sharing"",""สบก!DN52"")"),37290)</f>
        <v>37290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IFERROR(__xludf.DUMMYFUNCTION("IMPORTRANGE(""https://docs.google.com/spreadsheets/d/1XL5vhW3sbDhbH9Cz0tuDiY8C3ctxq1tqvaCgkFb8cCA/edit?usp=sharing"",""สุรินทร์!J234"")"),832)</f>
        <v>832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IFERROR(__xludf.DUMMYFUNCTION("IMPORTRANGE(""https://docs.google.com/spreadsheets/d/1XL5vhW3sbDhbH9Cz0tuDiY8C3ctxq1tqvaCgkFb8cCA/edit?usp=sharing"",""สุรินทร์!J235"")"),5525.22)</f>
        <v>5525.22</v>
      </c>
      <c r="K340" s="343">
        <f t="shared" ca="1" si="103"/>
        <v>81.253235294117644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IFERROR(__xludf.DUMMYFUNCTION("IMPORTRANGE(""https://docs.google.com/spreadsheets/d/1XL5vhW3sbDhbH9Cz0tuDiY8C3ctxq1tqvaCgkFb8cCA/edit?usp=sharing"",""สุรินทร์!J236"")"),1224)</f>
        <v>1224</v>
      </c>
      <c r="K341" s="343">
        <f t="shared" ca="1" si="103"/>
        <v>96.377952755905511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IFERROR(__xludf.DUMMYFUNCTION("IMPORTRANGE(""https://docs.google.com/spreadsheets/d/1XL5vhW3sbDhbH9Cz0tuDiY8C3ctxq1tqvaCgkFb8cCA/edit?usp=sharing"",""สุรินทร์!J237"")"),10195.43)</f>
        <v>10195.43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IFERROR(__xludf.DUMMYFUNCTION("IMPORTRANGE(""https://docs.google.com/spreadsheets/d/1XL5vhW3sbDhbH9Cz0tuDiY8C3ctxq1tqvaCgkFb8cCA/edit?usp=sharing"",""สุรินทร์!J238"")"),30)</f>
        <v>30</v>
      </c>
      <c r="K343" s="343">
        <f t="shared" ca="1" si="103"/>
        <v>2.3622047244094486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IFERROR(__xludf.DUMMYFUNCTION("IMPORTRANGE(""https://docs.google.com/spreadsheets/d/1XL5vhW3sbDhbH9Cz0tuDiY8C3ctxq1tqvaCgkFb8cCA/edit?usp=sharing"",""สุรินทร์!J239"")"),177.4)</f>
        <v>177.4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IFERROR(__xludf.DUMMYFUNCTION("IMPORTRANGE(""https://docs.google.com/spreadsheets/d/1XL5vhW3sbDhbH9Cz0tuDiY8C3ctxq1tqvaCgkFb8cCA/edit?usp=sharing"",""สุรินทร์!J240"")"),1056)</f>
        <v>1056</v>
      </c>
      <c r="K345" s="343">
        <f t="shared" ca="1" si="103"/>
        <v>83.149606299212593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IFERROR(__xludf.DUMMYFUNCTION("IMPORTRANGE(""https://docs.google.com/spreadsheets/d/1XL5vhW3sbDhbH9Cz0tuDiY8C3ctxq1tqvaCgkFb8cCA/edit?usp=sharing"",""สุรินทร์!J241"")"),8132.82)</f>
        <v>8132.82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IFERROR(__xludf.DUMMYFUNCTION("IMPORTRANGE(""https://docs.google.com/spreadsheets/d/1XL5vhW3sbDhbH9Cz0tuDiY8C3ctxq1tqvaCgkFb8cCA/edit?usp=sharing"",""สุรินทร์!L242"")"),2923091)</f>
        <v>2923091</v>
      </c>
      <c r="M347" s="358"/>
      <c r="N347" s="358">
        <f ca="1">IFERROR(__xludf.DUMMYFUNCTION("IMPORTRANGE(""https://docs.google.com/spreadsheets/d/1XL5vhW3sbDhbH9Cz0tuDiY8C3ctxq1tqvaCgkFb8cCA/edit?usp=sharing"",""สุรินทร์!M242"")"),2400845.07)</f>
        <v>2400845.0699999998</v>
      </c>
      <c r="O347" s="358">
        <f ca="1">+IF(L347&gt;0,N347*100/L347,0)</f>
        <v>82.133777908385326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IFERROR(__xludf.DUMMYFUNCTION("IMPORTRANGE(""https://docs.google.com/spreadsheets/d/1XL5vhW3sbDhbH9Cz0tuDiY8C3ctxq1tqvaCgkFb8cCA/edit?usp=sharing"",""สุรินทร์!M244"")"),195420)</f>
        <v>195420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IFERROR(__xludf.DUMMYFUNCTION("IMPORTRANGE(""https://docs.google.com/spreadsheets/d/1XL5vhW3sbDhbH9Cz0tuDiY8C3ctxq1tqvaCgkFb8cCA/edit?usp=sharing"",""สุรินทร์!L247"")"),195420)</f>
        <v>195420</v>
      </c>
      <c r="M352" s="165"/>
      <c r="N352" s="164">
        <f ca="1">IFERROR(__xludf.DUMMYFUNCTION("IMPORTRANGE(""https://docs.google.com/spreadsheets/d/1XL5vhW3sbDhbH9Cz0tuDiY8C3ctxq1tqvaCgkFb8cCA/edit?usp=sharing"",""สุรินทร์!M247"")"),195420)</f>
        <v>195420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IFERROR(__xludf.DUMMYFUNCTION("IMPORTRANGE(""https://docs.google.com/spreadsheets/d/1XL5vhW3sbDhbH9Cz0tuDiY8C3ctxq1tqvaCgkFb8cCA/edit?usp=sharing"",""สุรินทร์!L249"")"),195420)</f>
        <v>195420</v>
      </c>
      <c r="M354" s="169"/>
      <c r="N354" s="168">
        <f ca="1">IFERROR(__xludf.DUMMYFUNCTION("IMPORTRANGE(""https://docs.google.com/spreadsheets/d/1XL5vhW3sbDhbH9Cz0tuDiY8C3ctxq1tqvaCgkFb8cCA/edit?usp=sharing"",""สุรินทร์!M249"")"),195420)</f>
        <v>195420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IFERROR(__xludf.DUMMYFUNCTION("IMPORTRANGE(""https://docs.google.com/spreadsheets/d/1XL5vhW3sbDhbH9Cz0tuDiY8C3ctxq1tqvaCgkFb8cCA/edit?usp=sharing"",""สุรินทร์!M250"")"),21900)</f>
        <v>21900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IFERROR(__xludf.DUMMYFUNCTION("IMPORTRANGE(""https://docs.google.com/spreadsheets/d/1XL5vhW3sbDhbH9Cz0tuDiY8C3ctxq1tqvaCgkFb8cCA/edit?usp=sharing"",""สุรินทร์!M251"")"),155000)</f>
        <v>155000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IFERROR(__xludf.DUMMYFUNCTION("IMPORTRANGE(""https://docs.google.com/spreadsheets/d/1XL5vhW3sbDhbH9Cz0tuDiY8C3ctxq1tqvaCgkFb8cCA/edit?usp=sharing"",""สุรินทร์!M253"")"),18520)</f>
        <v>18520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IFERROR(__xludf.DUMMYFUNCTION("IMPORTRANGE(""https://docs.google.com/spreadsheets/d/1XL5vhW3sbDhbH9Cz0tuDiY8C3ctxq1tqvaCgkFb8cCA/edit?usp=sharing"",""สุรินทร์!J274"")"),0)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IFERROR(__xludf.DUMMYFUNCTION("IMPORTRANGE(""https://docs.google.com/spreadsheets/d/1XL5vhW3sbDhbH9Cz0tuDiY8C3ctxq1tqvaCgkFb8cCA/edit?usp=sharing"",""สุรินทร์!M275"")"),980030)</f>
        <v>980030</v>
      </c>
      <c r="O380" s="373">
        <f ca="1">+IF(L380&gt;0,N380*100/L380,0)</f>
        <v>95.285458717380308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IFERROR(__xludf.DUMMYFUNCTION("IMPORTRANGE(""https://docs.google.com/spreadsheets/d/1XL5vhW3sbDhbH9Cz0tuDiY8C3ctxq1tqvaCgkFb8cCA/edit?usp=sharing"",""สุรินทร์!M278"")"),980030)</f>
        <v>980030</v>
      </c>
      <c r="O383" s="165">
        <f t="shared" ca="1" si="109"/>
        <v>95.285458717380308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IFERROR(__xludf.DUMMYFUNCTION("IMPORTRANGE(""https://docs.google.com/spreadsheets/d/1XL5vhW3sbDhbH9Cz0tuDiY8C3ctxq1tqvaCgkFb8cCA/edit?usp=sharing"",""สุรินทร์!M280"")"),980030)</f>
        <v>980030</v>
      </c>
      <c r="O385" s="169">
        <f t="shared" ca="1" si="109"/>
        <v>95.285458717380308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IFERROR(__xludf.DUMMYFUNCTION("IMPORTRANGE(""https://docs.google.com/spreadsheets/d/1XL5vhW3sbDhbH9Cz0tuDiY8C3ctxq1tqvaCgkFb8cCA/edit?usp=sharing"",""สุรินทร์!M283"")"),107510)</f>
        <v>107510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IFERROR(__xludf.DUMMYFUNCTION("IMPORTRANGE(""https://docs.google.com/spreadsheets/d/1XL5vhW3sbDhbH9Cz0tuDiY8C3ctxq1tqvaCgkFb8cCA/edit?usp=sharing"",""สุรินทร์!M296"")"),159950)</f>
        <v>159950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IFERROR(__xludf.DUMMYFUNCTION("IMPORTRANGE(""https://docs.google.com/spreadsheets/d/1XL5vhW3sbDhbH9Cz0tuDiY8C3ctxq1tqvaCgkFb8cCA/edit?usp=sharing"",""สุรินทร์!M299"")"),159950)</f>
        <v>159950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IFERROR(__xludf.DUMMYFUNCTION("IMPORTRANGE(""https://docs.google.com/spreadsheets/d/1XL5vhW3sbDhbH9Cz0tuDiY8C3ctxq1tqvaCgkFb8cCA/edit?usp=sharing"",""สุรินทร์!M301"")"),159950)</f>
        <v>159950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IFERROR(__xludf.DUMMYFUNCTION("IMPORTRANGE(""https://docs.google.com/spreadsheets/d/1XL5vhW3sbDhbH9Cz0tuDiY8C3ctxq1tqvaCgkFb8cCA/edit?usp=sharing"",""สุรินทร์!M305"")"),29900)</f>
        <v>29900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IFERROR(__xludf.DUMMYFUNCTION("IMPORTRANGE(""https://docs.google.com/spreadsheets/d/1XL5vhW3sbDhbH9Cz0tuDiY8C3ctxq1tqvaCgkFb8cCA/edit?usp=sharing"",""สุรินทร์!J329"")"),0)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IFERROR(__xludf.DUMMYFUNCTION("IMPORTRANGE(""https://docs.google.com/spreadsheets/d/1XL5vhW3sbDhbH9Cz0tuDiY8C3ctxq1tqvaCgkFb8cCA/edit?usp=sharing"",""สุรินทร์!M330"")"),214082)</f>
        <v>214082</v>
      </c>
      <c r="O435" s="412">
        <f t="shared" ref="O435:O439" ca="1" si="114">+IF(L435&gt;0,N435*100/L435,0)</f>
        <v>96.433333333333337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IFERROR(__xludf.DUMMYFUNCTION("IMPORTRANGE(""https://docs.google.com/spreadsheets/d/1XL5vhW3sbDhbH9Cz0tuDiY8C3ctxq1tqvaCgkFb8cCA/edit?usp=sharing"",""สุรินทร์!M332"")"),214082)</f>
        <v>214082</v>
      </c>
      <c r="O437" s="169">
        <f t="shared" ca="1" si="114"/>
        <v>96.433333333333337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IFERROR(__xludf.DUMMYFUNCTION("IMPORTRANGE(""https://docs.google.com/spreadsheets/d/1XL5vhW3sbDhbH9Cz0tuDiY8C3ctxq1tqvaCgkFb8cCA/edit?usp=sharing"",""สุรินทร์!M334"")"),214082)</f>
        <v>214082</v>
      </c>
      <c r="O439" s="169">
        <f t="shared" ca="1" si="114"/>
        <v>96.433333333333337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IFERROR(__xludf.DUMMYFUNCTION("IMPORTRANGE(""https://docs.google.com/spreadsheets/d/1XL5vhW3sbDhbH9Cz0tuDiY8C3ctxq1tqvaCgkFb8cCA/edit?usp=sharing"",""สุรินทร์!M335"")"),169588)</f>
        <v>169588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IFERROR(__xludf.DUMMYFUNCTION("IMPORTRANGE(""https://docs.google.com/spreadsheets/d/1XL5vhW3sbDhbH9Cz0tuDiY8C3ctxq1tqvaCgkFb8cCA/edit?usp=sharing"",""สุรินทร์!M338"")"),44494)</f>
        <v>44494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IFERROR(__xludf.DUMMYFUNCTION("IMPORTRANGE(""https://docs.google.com/spreadsheets/d/1XL5vhW3sbDhbH9Cz0tuDiY8C3ctxq1tqvaCgkFb8cCA/edit?usp=sharing"",""สุรินทร์!J350"")"),45340)</f>
        <v>45340</v>
      </c>
      <c r="K455" s="372">
        <f ca="1">IF(I455&gt;0,J455*100/I455,0)</f>
        <v>100.00220560665211</v>
      </c>
      <c r="L455" s="373">
        <f ca="1">IFERROR(__xludf.DUMMYFUNCTION("IMPORTRANGE(""https://docs.google.com/spreadsheets/d/1XL5vhW3sbDhbH9Cz0tuDiY8C3ctxq1tqvaCgkFb8cCA/edit?usp=sharing"",""สุรินทร์!L350"")"),776461)</f>
        <v>776461</v>
      </c>
      <c r="M455" s="373"/>
      <c r="N455" s="373">
        <f ca="1">IFERROR(__xludf.DUMMYFUNCTION("IMPORTRANGE(""https://docs.google.com/spreadsheets/d/1XL5vhW3sbDhbH9Cz0tuDiY8C3ctxq1tqvaCgkFb8cCA/edit?usp=sharing"",""สุรินทร์!M350"")"),413733.47)</f>
        <v>413733.47</v>
      </c>
      <c r="O455" s="373">
        <f t="shared" ref="O455:O459" ca="1" si="116">+IF(L455&gt;0,N455*100/L455,0)</f>
        <v>53.284513967861876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IFERROR(__xludf.DUMMYFUNCTION("IMPORTRANGE(""https://docs.google.com/spreadsheets/d/1XL5vhW3sbDhbH9Cz0tuDiY8C3ctxq1tqvaCgkFb8cCA/edit?usp=sharing"",""สุรินทร์!L352"")"),776461)</f>
        <v>776461</v>
      </c>
      <c r="M457" s="165"/>
      <c r="N457" s="169">
        <f ca="1">IFERROR(__xludf.DUMMYFUNCTION("IMPORTRANGE(""https://docs.google.com/spreadsheets/d/1XL5vhW3sbDhbH9Cz0tuDiY8C3ctxq1tqvaCgkFb8cCA/edit?usp=sharing"",""สุรินทร์!M352"")"),413733.47)</f>
        <v>413733.47</v>
      </c>
      <c r="O457" s="169">
        <f t="shared" ca="1" si="116"/>
        <v>53.284513967861876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IFERROR(__xludf.DUMMYFUNCTION("IMPORTRANGE(""https://docs.google.com/spreadsheets/d/1XL5vhW3sbDhbH9Cz0tuDiY8C3ctxq1tqvaCgkFb8cCA/edit?usp=sharing"",""สุรินทร์!L354"")"),776461)</f>
        <v>776461</v>
      </c>
      <c r="M459" s="169"/>
      <c r="N459" s="169">
        <f ca="1">IFERROR(__xludf.DUMMYFUNCTION("IMPORTRANGE(""https://docs.google.com/spreadsheets/d/1XL5vhW3sbDhbH9Cz0tuDiY8C3ctxq1tqvaCgkFb8cCA/edit?usp=sharing"",""สุรินทร์!M354"")"),413733.47)</f>
        <v>413733.47</v>
      </c>
      <c r="O459" s="169">
        <f t="shared" ca="1" si="116"/>
        <v>53.284513967861876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IFERROR(__xludf.DUMMYFUNCTION("IMPORTRANGE(""https://docs.google.com/spreadsheets/d/1XL5vhW3sbDhbH9Cz0tuDiY8C3ctxq1tqvaCgkFb8cCA/edit?usp=sharing"",""สุรินทร์!M357"")"),106451)</f>
        <v>106451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IFERROR(__xludf.DUMMYFUNCTION("IMPORTRANGE(""https://docs.google.com/spreadsheets/d/1XL5vhW3sbDhbH9Cz0tuDiY8C3ctxq1tqvaCgkFb8cCA/edit?usp=sharing"",""สุรินทร์!M358"")"),307282.47)</f>
        <v>307282.46999999997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IFERROR(__xludf.DUMMYFUNCTION("IMPORTRANGE(""https://docs.google.com/spreadsheets/d/1XL5vhW3sbDhbH9Cz0tuDiY8C3ctxq1tqvaCgkFb8cCA/edit?usp=sharing"",""สุรินทร์!J359"")"),45340)</f>
        <v>45340</v>
      </c>
      <c r="K464" s="269">
        <f t="shared" ref="K464:K515" ca="1" si="117">IF(I464&gt;0,J464*100/I464,0)</f>
        <v>100.00220560665211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IFERROR(__xludf.DUMMYFUNCTION("IMPORTRANGE(""https://docs.google.com/spreadsheets/d/1XL5vhW3sbDhbH9Cz0tuDiY8C3ctxq1tqvaCgkFb8cCA/edit?usp=sharing"",""สุรินทร์!J376"")"),45340)</f>
        <v>45340</v>
      </c>
      <c r="K481" s="202">
        <f t="shared" ca="1" si="117"/>
        <v>100.00220560665211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IFERROR(__xludf.DUMMYFUNCTION("IMPORTRANGE(""https://docs.google.com/spreadsheets/d/1XL5vhW3sbDhbH9Cz0tuDiY8C3ctxq1tqvaCgkFb8cCA/edit?usp=sharing"",""สุรินทร์!J377"")"),6353)</f>
        <v>6353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IFERROR(__xludf.DUMMYFUNCTION("IMPORTRANGE(""https://docs.google.com/spreadsheets/d/1XL5vhW3sbDhbH9Cz0tuDiY8C3ctxq1tqvaCgkFb8cCA/edit?usp=sharing"",""สุรินทร์!J378"")"),39244)</f>
        <v>39244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IFERROR(__xludf.DUMMYFUNCTION("IMPORTRANGE(""https://docs.google.com/spreadsheets/d/1XL5vhW3sbDhbH9Cz0tuDiY8C3ctxq1tqvaCgkFb8cCA/edit?usp=sharing"",""สุรินทร์!J379"")"),5733)</f>
        <v>5733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IFERROR(__xludf.DUMMYFUNCTION("IMPORTRANGE(""https://docs.google.com/spreadsheets/d/1XL5vhW3sbDhbH9Cz0tuDiY8C3ctxq1tqvaCgkFb8cCA/edit?usp=sharing"",""สุรินทร์!J380"")"),415)</f>
        <v>415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IFERROR(__xludf.DUMMYFUNCTION("IMPORTRANGE(""https://docs.google.com/spreadsheets/d/1XL5vhW3sbDhbH9Cz0tuDiY8C3ctxq1tqvaCgkFb8cCA/edit?usp=sharing"",""สุรินทร์!J381"")"),34)</f>
        <v>34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IFERROR(__xludf.DUMMYFUNCTION("IMPORTRANGE(""https://docs.google.com/spreadsheets/d/1XL5vhW3sbDhbH9Cz0tuDiY8C3ctxq1tqvaCgkFb8cCA/edit?usp=sharing"",""สุรินทร์!J382"")"),2611)</f>
        <v>2611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IFERROR(__xludf.DUMMYFUNCTION("IMPORTRANGE(""https://docs.google.com/spreadsheets/d/1XL5vhW3sbDhbH9Cz0tuDiY8C3ctxq1tqvaCgkFb8cCA/edit?usp=sharing"",""สุรินทร์!J383"")"),236)</f>
        <v>236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IFERROR(__xludf.DUMMYFUNCTION("IMPORTRANGE(""https://docs.google.com/spreadsheets/d/1XL5vhW3sbDhbH9Cz0tuDiY8C3ctxq1tqvaCgkFb8cCA/edit?usp=sharing"",""สุรินทร์!J384"")"),2611)</f>
        <v>2611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IFERROR(__xludf.DUMMYFUNCTION("IMPORTRANGE(""https://docs.google.com/spreadsheets/d/1XL5vhW3sbDhbH9Cz0tuDiY8C3ctxq1tqvaCgkFb8cCA/edit?usp=sharing"",""สุรินทร์!J385"")"),236)</f>
        <v>236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IFERROR(__xludf.DUMMYFUNCTION("IMPORTRANGE(""https://docs.google.com/spreadsheets/d/1XL5vhW3sbDhbH9Cz0tuDiY8C3ctxq1tqvaCgkFb8cCA/edit?usp=sharing"",""สุรินทร์!J388"")"),3070)</f>
        <v>3070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IFERROR(__xludf.DUMMYFUNCTION("IMPORTRANGE(""https://docs.google.com/spreadsheets/d/1XL5vhW3sbDhbH9Cz0tuDiY8C3ctxq1tqvaCgkFb8cCA/edit?usp=sharing"",""สุรินทร์!J389"")"),350)</f>
        <v>350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IFERROR(__xludf.DUMMYFUNCTION("IMPORTRANGE(""https://docs.google.com/spreadsheets/d/1XL5vhW3sbDhbH9Cz0tuDiY8C3ctxq1tqvaCgkFb8cCA/edit?usp=sharing"",""สุรินทร์!J392"")"),4566)</f>
        <v>4566</v>
      </c>
      <c r="K497" s="444">
        <f t="shared" ca="1" si="117"/>
        <v>100.02190580503833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IFERROR(__xludf.DUMMYFUNCTION("IMPORTRANGE(""https://docs.google.com/spreadsheets/d/1XL5vhW3sbDhbH9Cz0tuDiY8C3ctxq1tqvaCgkFb8cCA/edit?usp=sharing"",""สุรินทร์!J393"")"),4566)</f>
        <v>4566</v>
      </c>
      <c r="K498" s="202">
        <f t="shared" ca="1" si="117"/>
        <v>100.02190580503833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IFERROR(__xludf.DUMMYFUNCTION("IMPORTRANGE(""https://docs.google.com/spreadsheets/d/1XL5vhW3sbDhbH9Cz0tuDiY8C3ctxq1tqvaCgkFb8cCA/edit?usp=sharing"",""สุรินทร์!J394"")"),899)</f>
        <v>899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IFERROR(__xludf.DUMMYFUNCTION("IMPORTRANGE(""https://docs.google.com/spreadsheets/d/1XL5vhW3sbDhbH9Cz0tuDiY8C3ctxq1tqvaCgkFb8cCA/edit?usp=sharing"",""สุรินทร์!J395"")"),1424)</f>
        <v>1424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IFERROR(__xludf.DUMMYFUNCTION("IMPORTRANGE(""https://docs.google.com/spreadsheets/d/1XL5vhW3sbDhbH9Cz0tuDiY8C3ctxq1tqvaCgkFb8cCA/edit?usp=sharing"",""สุรินทร์!J396"")"),300)</f>
        <v>300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IFERROR(__xludf.DUMMYFUNCTION("IMPORTRANGE(""https://docs.google.com/spreadsheets/d/1XL5vhW3sbDhbH9Cz0tuDiY8C3ctxq1tqvaCgkFb8cCA/edit?usp=sharing"",""สุรินทร์!J397"")"),1174)</f>
        <v>1174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IFERROR(__xludf.DUMMYFUNCTION("IMPORTRANGE(""https://docs.google.com/spreadsheets/d/1XL5vhW3sbDhbH9Cz0tuDiY8C3ctxq1tqvaCgkFb8cCA/edit?usp=sharing"",""สุรินทร์!J398"")"),250)</f>
        <v>250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IFERROR(__xludf.DUMMYFUNCTION("IMPORTRANGE(""https://docs.google.com/spreadsheets/d/1XL5vhW3sbDhbH9Cz0tuDiY8C3ctxq1tqvaCgkFb8cCA/edit?usp=sharing"",""สุรินทร์!J399"")"),250)</f>
        <v>250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IFERROR(__xludf.DUMMYFUNCTION("IMPORTRANGE(""https://docs.google.com/spreadsheets/d/1XL5vhW3sbDhbH9Cz0tuDiY8C3ctxq1tqvaCgkFb8cCA/edit?usp=sharing"",""สุรินทร์!J400"")"),50)</f>
        <v>50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IFERROR(__xludf.DUMMYFUNCTION("IMPORTRANGE(""https://docs.google.com/spreadsheets/d/1XL5vhW3sbDhbH9Cz0tuDiY8C3ctxq1tqvaCgkFb8cCA/edit?usp=sharing"",""สุรินทร์!J403"")"),425)</f>
        <v>425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IFERROR(__xludf.DUMMYFUNCTION("IMPORTRANGE(""https://docs.google.com/spreadsheets/d/1XL5vhW3sbDhbH9Cz0tuDiY8C3ctxq1tqvaCgkFb8cCA/edit?usp=sharing"",""สุรินทร์!J404"")"),65)</f>
        <v>65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IFERROR(__xludf.DUMMYFUNCTION("IMPORTRANGE(""https://docs.google.com/spreadsheets/d/1XL5vhW3sbDhbH9Cz0tuDiY8C3ctxq1tqvaCgkFb8cCA/edit?usp=sharing"",""สุรินทร์!J405"")"),425)</f>
        <v>425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IFERROR(__xludf.DUMMYFUNCTION("IMPORTRANGE(""https://docs.google.com/spreadsheets/d/1XL5vhW3sbDhbH9Cz0tuDiY8C3ctxq1tqvaCgkFb8cCA/edit?usp=sharing"",""สุรินทร์!J406"")"),65)</f>
        <v>65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IFERROR(__xludf.DUMMYFUNCTION("IMPORTRANGE(""https://docs.google.com/spreadsheets/d/1XL5vhW3sbDhbH9Cz0tuDiY8C3ctxq1tqvaCgkFb8cCA/edit?usp=sharing"",""สุรินทร์!J409"")"),2717)</f>
        <v>2717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IFERROR(__xludf.DUMMYFUNCTION("IMPORTRANGE(""https://docs.google.com/spreadsheets/d/1XL5vhW3sbDhbH9Cz0tuDiY8C3ctxq1tqvaCgkFb8cCA/edit?usp=sharing"",""สุรินทร์!J410"")"),534)</f>
        <v>534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IFERROR(__xludf.DUMMYFUNCTION("IMPORTRANGE(""https://docs.google.com/spreadsheets/d/1XL5vhW3sbDhbH9Cz0tuDiY8C3ctxq1tqvaCgkFb8cCA/edit?usp=sharing"",""สุรินทร์!I412"")"),0)</f>
        <v>0</v>
      </c>
      <c r="J517" s="285">
        <f ca="1">IFERROR(__xludf.DUMMYFUNCTION("IMPORTRANGE(""https://docs.google.com/spreadsheets/d/1XL5vhW3sbDhbH9Cz0tuDiY8C3ctxq1tqvaCgkFb8cCA/edit?usp=sharing"",""สุรินทร์!J412"")"),0)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IFERROR(__xludf.DUMMYFUNCTION("IMPORTRANGE(""https://docs.google.com/spreadsheets/d/1XL5vhW3sbDhbH9Cz0tuDiY8C3ctxq1tqvaCgkFb8cCA/edit?usp=sharing"",""สุรินทร์!I413"")"),0)</f>
        <v>0</v>
      </c>
      <c r="J518" s="285">
        <f ca="1">IFERROR(__xludf.DUMMYFUNCTION("IMPORTRANGE(""https://docs.google.com/spreadsheets/d/1XL5vhW3sbDhbH9Cz0tuDiY8C3ctxq1tqvaCgkFb8cCA/edit?usp=sharing"",""สุรินทร์!J413"")"),0)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IFERROR(__xludf.DUMMYFUNCTION("IMPORTRANGE(""https://docs.google.com/spreadsheets/d/1XL5vhW3sbDhbH9Cz0tuDiY8C3ctxq1tqvaCgkFb8cCA/edit?usp=sharing"",""สุรินทร์!I420"")"),40)</f>
        <v>40</v>
      </c>
      <c r="J525" s="285">
        <f ca="1">IFERROR(__xludf.DUMMYFUNCTION("IMPORTRANGE(""https://docs.google.com/spreadsheets/d/1XL5vhW3sbDhbH9Cz0tuDiY8C3ctxq1tqvaCgkFb8cCA/edit?usp=sharing"",""สุรินทร์!J420"")"),40)</f>
        <v>40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IFERROR(__xludf.DUMMYFUNCTION("IMPORTRANGE(""https://docs.google.com/spreadsheets/d/1XL5vhW3sbDhbH9Cz0tuDiY8C3ctxq1tqvaCgkFb8cCA/edit?usp=sharing"",""สุรินทร์!I421"")"),4)</f>
        <v>4</v>
      </c>
      <c r="J526" s="285">
        <f ca="1">IFERROR(__xludf.DUMMYFUNCTION("IMPORTRANGE(""https://docs.google.com/spreadsheets/d/1XL5vhW3sbDhbH9Cz0tuDiY8C3ctxq1tqvaCgkFb8cCA/edit?usp=sharing"",""สุรินทร์!J421"")"),4)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IFERROR(__xludf.DUMMYFUNCTION("IMPORTRANGE(""https://docs.google.com/spreadsheets/d/1XL5vhW3sbDhbH9Cz0tuDiY8C3ctxq1tqvaCgkFb8cCA/edit?usp=sharing"",""สุรินทร์!J426"")"),40)</f>
        <v>40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IFERROR(__xludf.DUMMYFUNCTION("IMPORTRANGE(""https://docs.google.com/spreadsheets/d/1XL5vhW3sbDhbH9Cz0tuDiY8C3ctxq1tqvaCgkFb8cCA/edit?usp=sharing"",""สุรินทร์!J427"")"),4)</f>
        <v>4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IFERROR(__xludf.DUMMYFUNCTION("IMPORTRANGE(""https://docs.google.com/spreadsheets/d/1XL5vhW3sbDhbH9Cz0tuDiY8C3ctxq1tqvaCgkFb8cCA/edit?usp=sharing"",""สุรินทร์!J459"")"),7208)</f>
        <v>7208</v>
      </c>
      <c r="K564" s="372">
        <f ca="1">IF(I564&gt;0,J564*100/I564,0)</f>
        <v>131.05454545454546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IFERROR(__xludf.DUMMYFUNCTION("IMPORTRANGE(""https://docs.google.com/spreadsheets/d/1XL5vhW3sbDhbH9Cz0tuDiY8C3ctxq1tqvaCgkFb8cCA/edit?usp=sharing"",""สุรินทร์!M459"")"),160317.8)</f>
        <v>160317.79999999999</v>
      </c>
      <c r="O564" s="373">
        <f t="shared" ref="O564:O568" ca="1" si="122">+IF(L564&gt;0,N564*100/L564,0)</f>
        <v>98.233946078431359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IFERROR(__xludf.DUMMYFUNCTION("IMPORTRANGE(""https://docs.google.com/spreadsheets/d/1XL5vhW3sbDhbH9Cz0tuDiY8C3ctxq1tqvaCgkFb8cCA/edit?usp=sharing"",""สุรินทร์!M461"")"),160317.8)</f>
        <v>160317.79999999999</v>
      </c>
      <c r="O566" s="169">
        <f t="shared" ca="1" si="122"/>
        <v>98.233946078431359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IFERROR(__xludf.DUMMYFUNCTION("IMPORTRANGE(""https://docs.google.com/spreadsheets/d/1XL5vhW3sbDhbH9Cz0tuDiY8C3ctxq1tqvaCgkFb8cCA/edit?usp=sharing"",""สุรินทร์!M463"")"),160317.8)</f>
        <v>160317.79999999999</v>
      </c>
      <c r="O568" s="169">
        <f t="shared" ca="1" si="122"/>
        <v>98.233946078431359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IFERROR(__xludf.DUMMYFUNCTION("IMPORTRANGE(""https://docs.google.com/spreadsheets/d/1XL5vhW3sbDhbH9Cz0tuDiY8C3ctxq1tqvaCgkFb8cCA/edit?usp=sharing"",""สุรินทร์!M466"")"),95451)</f>
        <v>95451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IFERROR(__xludf.DUMMYFUNCTION("IMPORTRANGE(""https://docs.google.com/spreadsheets/d/1XL5vhW3sbDhbH9Cz0tuDiY8C3ctxq1tqvaCgkFb8cCA/edit?usp=sharing"",""สุรินทร์!M467"")"),64866.8)</f>
        <v>64866.8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IFERROR(__xludf.DUMMYFUNCTION("IMPORTRANGE(""https://docs.google.com/spreadsheets/d/1XL5vhW3sbDhbH9Cz0tuDiY8C3ctxq1tqvaCgkFb8cCA/edit?usp=sharing"",""สุรินทร์!J468"")"),7208)</f>
        <v>7208</v>
      </c>
      <c r="K573" s="202">
        <f ca="1">IF(I573&gt;0,J573*100/I573,0)</f>
        <v>131.05454545454546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IFERROR(__xludf.DUMMYFUNCTION("IMPORTRANGE(""https://docs.google.com/spreadsheets/d/1XL5vhW3sbDhbH9Cz0tuDiY8C3ctxq1tqvaCgkFb8cCA/edit?usp=sharing"",""สุรินทร์!J471"")"),1567)</f>
        <v>1567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IFERROR(__xludf.DUMMYFUNCTION("IMPORTRANGE(""https://docs.google.com/spreadsheets/d/1XL5vhW3sbDhbH9Cz0tuDiY8C3ctxq1tqvaCgkFb8cCA/edit?usp=sharing"",""สุรินทร์!J472"")"),5641)</f>
        <v>5641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IFERROR(__xludf.DUMMYFUNCTION("IMPORTRANGE(""https://docs.google.com/spreadsheets/d/1XL5vhW3sbDhbH9Cz0tuDiY8C3ctxq1tqvaCgkFb8cCA/edit?usp=sharing"",""สุรินทร์!J475"")"),53)</f>
        <v>53</v>
      </c>
      <c r="K580" s="372">
        <f ca="1">IF(I580&gt;0,J580*100/I580,0)</f>
        <v>53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IFERROR(__xludf.DUMMYFUNCTION("IMPORTRANGE(""https://docs.google.com/spreadsheets/d/1XL5vhW3sbDhbH9Cz0tuDiY8C3ctxq1tqvaCgkFb8cCA/edit?usp=sharing"",""สุรินทร์!M475"")"),236676.8)</f>
        <v>236676.8</v>
      </c>
      <c r="O580" s="373">
        <f t="shared" ref="O580:O584" ca="1" si="124">+IF(L580&gt;0,N580*100/L580,0)</f>
        <v>73.593532338308464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IFERROR(__xludf.DUMMYFUNCTION("IMPORTRANGE(""https://docs.google.com/spreadsheets/d/1XL5vhW3sbDhbH9Cz0tuDiY8C3ctxq1tqvaCgkFb8cCA/edit?usp=sharing"",""สุรินทร์!M477"")"),236676.8)</f>
        <v>236676.8</v>
      </c>
      <c r="O582" s="169">
        <f t="shared" ca="1" si="124"/>
        <v>73.593532338308464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IFERROR(__xludf.DUMMYFUNCTION("IMPORTRANGE(""https://docs.google.com/spreadsheets/d/1XL5vhW3sbDhbH9Cz0tuDiY8C3ctxq1tqvaCgkFb8cCA/edit?usp=sharing"",""สุรินทร์!M479"")"),236676.8)</f>
        <v>236676.8</v>
      </c>
      <c r="O584" s="169">
        <f t="shared" ca="1" si="124"/>
        <v>73.593532338308464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IFERROR(__xludf.DUMMYFUNCTION("IMPORTRANGE(""https://docs.google.com/spreadsheets/d/1XL5vhW3sbDhbH9Cz0tuDiY8C3ctxq1tqvaCgkFb8cCA/edit?usp=sharing"",""สุรินทร์!M482"")"),127741.8)</f>
        <v>127741.8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IFERROR(__xludf.DUMMYFUNCTION("IMPORTRANGE(""https://docs.google.com/spreadsheets/d/1XL5vhW3sbDhbH9Cz0tuDiY8C3ctxq1tqvaCgkFb8cCA/edit?usp=sharing"",""สุรินทร์!M483"")"),108935)</f>
        <v>108935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IFERROR(__xludf.DUMMYFUNCTION("IMPORTRANGE(""https://docs.google.com/spreadsheets/d/1XL5vhW3sbDhbH9Cz0tuDiY8C3ctxq1tqvaCgkFb8cCA/edit?usp=sharing"",""สุรินทร์!J484"")"),146)</f>
        <v>146</v>
      </c>
      <c r="K589" s="163">
        <f t="shared" ref="K589:K596" ca="1" si="125">IF(I589&gt;0,J589*100/I589,0)</f>
        <v>146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IFERROR(__xludf.DUMMYFUNCTION("IMPORTRANGE(""https://docs.google.com/spreadsheets/d/1XL5vhW3sbDhbH9Cz0tuDiY8C3ctxq1tqvaCgkFb8cCA/edit?usp=sharing"",""สุรินทร์!J485"")"),129.69)</f>
        <v>129.69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IFERROR(__xludf.DUMMYFUNCTION("IMPORTRANGE(""https://docs.google.com/spreadsheets/d/1XL5vhW3sbDhbH9Cz0tuDiY8C3ctxq1tqvaCgkFb8cCA/edit?usp=sharing"",""สุรินทร์!J486"")"),51)</f>
        <v>51</v>
      </c>
      <c r="K591" s="163">
        <f t="shared" ca="1" si="125"/>
        <v>51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IFERROR(__xludf.DUMMYFUNCTION("IMPORTRANGE(""https://docs.google.com/spreadsheets/d/1XL5vhW3sbDhbH9Cz0tuDiY8C3ctxq1tqvaCgkFb8cCA/edit?usp=sharing"",""สุรินทร์!J487"")"),52.47)</f>
        <v>52.47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IFERROR(__xludf.DUMMYFUNCTION("IMPORTRANGE(""https://docs.google.com/spreadsheets/d/1XL5vhW3sbDhbH9Cz0tuDiY8C3ctxq1tqvaCgkFb8cCA/edit?usp=sharing"",""สุรินทร์!J488"")"),48)</f>
        <v>48</v>
      </c>
      <c r="K593" s="163">
        <f t="shared" ca="1" si="125"/>
        <v>48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IFERROR(__xludf.DUMMYFUNCTION("IMPORTRANGE(""https://docs.google.com/spreadsheets/d/1XL5vhW3sbDhbH9Cz0tuDiY8C3ctxq1tqvaCgkFb8cCA/edit?usp=sharing"",""สุรินทร์!J489"")"),50.94)</f>
        <v>50.94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IFERROR(__xludf.DUMMYFUNCTION("IMPORTRANGE(""https://docs.google.com/spreadsheets/d/1XL5vhW3sbDhbH9Cz0tuDiY8C3ctxq1tqvaCgkFb8cCA/edit?usp=sharing"",""สุรินทร์!J490"")"),53)</f>
        <v>53</v>
      </c>
      <c r="K595" s="163">
        <f t="shared" ca="1" si="125"/>
        <v>53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IFERROR(__xludf.DUMMYFUNCTION("IMPORTRANGE(""https://docs.google.com/spreadsheets/d/1XL5vhW3sbDhbH9Cz0tuDiY8C3ctxq1tqvaCgkFb8cCA/edit?usp=sharing"",""สุรินทร์!J491"")"),57.75)</f>
        <v>57.75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8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IFERROR(__xludf.DUMMYFUNCTION("IMPORTRANGE(""https://docs.google.com/spreadsheets/d/1XL5vhW3sbDhbH9Cz0tuDiY8C3ctxq1tqvaCgkFb8cCA/edit?usp=sharing"",""สุรินทร์!M492"")"),9415)</f>
        <v>9415</v>
      </c>
      <c r="O597" s="412">
        <f t="shared" ref="O597:O601" ca="1" si="126">+IF(L597&gt;0,N597*100/L597,0)</f>
        <v>43.587962962962962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IFERROR(__xludf.DUMMYFUNCTION("IMPORTRANGE(""https://docs.google.com/spreadsheets/d/1XL5vhW3sbDhbH9Cz0tuDiY8C3ctxq1tqvaCgkFb8cCA/edit?usp=sharing"",""สุรินทร์!M494"")"),9415)</f>
        <v>9415</v>
      </c>
      <c r="O599" s="169">
        <f t="shared" ca="1" si="126"/>
        <v>43.587962962962962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IFERROR(__xludf.DUMMYFUNCTION("IMPORTRANGE(""https://docs.google.com/spreadsheets/d/1XL5vhW3sbDhbH9Cz0tuDiY8C3ctxq1tqvaCgkFb8cCA/edit?usp=sharing"",""สุรินทร์!M496"")"),9415)</f>
        <v>9415</v>
      </c>
      <c r="O601" s="169">
        <f t="shared" ca="1" si="126"/>
        <v>43.587962962962962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IFERROR(__xludf.DUMMYFUNCTION("IMPORTRANGE(""https://docs.google.com/spreadsheets/d/1XL5vhW3sbDhbH9Cz0tuDiY8C3ctxq1tqvaCgkFb8cCA/edit?usp=sharing"",""สุรินทร์!M500"")"),9415)</f>
        <v>9415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IFERROR(__xludf.DUMMYFUNCTION("IMPORTRANGE(""https://docs.google.com/spreadsheets/d/1XL5vhW3sbDhbH9Cz0tuDiY8C3ctxq1tqvaCgkFb8cCA/edit?usp=sharing"",""สุรินทร์!J166"")"),0)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IFERROR(__xludf.DUMMYFUNCTION("IMPORTRANGE(""https://docs.google.com/spreadsheets/d/1XL5vhW3sbDhbH9Cz0tuDiY8C3ctxq1tqvaCgkFb8cCA/edit?usp=sharing"",""สุรินทร์!J166"")"),0)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IFERROR(__xludf.DUMMYFUNCTION("IMPORTRANGE(""https://docs.google.com/spreadsheets/d/1XL5vhW3sbDhbH9Cz0tuDiY8C3ctxq1tqvaCgkFb8cCA/edit?usp=sharing"",""สุรินทร์!J507"")"),126)</f>
        <v>126</v>
      </c>
      <c r="K612" s="163">
        <f t="shared" ca="1" si="127"/>
        <v>63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IFERROR(__xludf.DUMMYFUNCTION("IMPORTRANGE(""https://docs.google.com/spreadsheets/d/1XL5vhW3sbDhbH9Cz0tuDiY8C3ctxq1tqvaCgkFb8cCA/edit?usp=sharing"",""สุรินทร์!J508"")"),126)</f>
        <v>126</v>
      </c>
      <c r="K613" s="163">
        <f t="shared" ca="1" si="127"/>
        <v>63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IFERROR(__xludf.DUMMYFUNCTION("IMPORTRANGE(""https://docs.google.com/spreadsheets/d/1XL5vhW3sbDhbH9Cz0tuDiY8C3ctxq1tqvaCgkFb8cCA/edit?usp=sharing"",""สุรินทร์!J509"")"),126)</f>
        <v>126</v>
      </c>
      <c r="K614" s="163">
        <f t="shared" ca="1" si="127"/>
        <v>63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IFERROR(__xludf.DUMMYFUNCTION("IMPORTRANGE(""https://docs.google.com/spreadsheets/d/1XL5vhW3sbDhbH9Cz0tuDiY8C3ctxq1tqvaCgkFb8cCA/edit?usp=sharing"",""สุรินทร์!J510"")"),79)</f>
        <v>79</v>
      </c>
      <c r="K615" s="163">
        <f t="shared" ca="1" si="127"/>
        <v>39.5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2">
        <f ca="1">IFERROR(__xludf.DUMMYFUNCTION("IMPORTRANGE(""https://docs.google.com/spreadsheets/d/1XL5vhW3sbDhbH9Cz0tuDiY8C3ctxq1tqvaCgkFb8cCA/edit?usp=sharing"",""สุรินทร์!J523"")"),5316790.74)</f>
        <v>5316790.74</v>
      </c>
      <c r="K628" s="343">
        <f t="shared" ref="K628:K635" ca="1" si="129">IF(I628&gt;0,J628*100/I628,0)</f>
        <v>94.193571989708204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IFERROR(__xludf.DUMMYFUNCTION("IMPORTRANGE(""https://docs.google.com/spreadsheets/d/1XL5vhW3sbDhbH9Cz0tuDiY8C3ctxq1tqvaCgkFb8cCA/edit?usp=sharing"",""สุรินทร์!I524"")"),315)</f>
        <v>315</v>
      </c>
      <c r="J629" s="342">
        <f ca="1">IFERROR(__xludf.DUMMYFUNCTION("IMPORTRANGE(""https://docs.google.com/spreadsheets/d/1XL5vhW3sbDhbH9Cz0tuDiY8C3ctxq1tqvaCgkFb8cCA/edit?usp=sharing"",""สุรินทร์!J524"")"),285)</f>
        <v>285</v>
      </c>
      <c r="K629" s="343">
        <f t="shared" ca="1" si="129"/>
        <v>90.476190476190482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2">
        <f ca="1">IFERROR(__xludf.DUMMYFUNCTION("IMPORTRANGE(""https://docs.google.com/spreadsheets/d/1XL5vhW3sbDhbH9Cz0tuDiY8C3ctxq1tqvaCgkFb8cCA/edit?usp=sharing"",""สุรินทร์!J525"")"),780429.36)</f>
        <v>780429.36</v>
      </c>
      <c r="K630" s="343">
        <f t="shared" ca="1" si="129"/>
        <v>11.672457836567341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IFERROR(__xludf.DUMMYFUNCTION("IMPORTRANGE(""https://docs.google.com/spreadsheets/d/1XL5vhW3sbDhbH9Cz0tuDiY8C3ctxq1tqvaCgkFb8cCA/edit?usp=sharing"",""สุรินทร์!I526"")"),420)</f>
        <v>420</v>
      </c>
      <c r="J631" s="342">
        <f ca="1">IFERROR(__xludf.DUMMYFUNCTION("IMPORTRANGE(""https://docs.google.com/spreadsheets/d/1XL5vhW3sbDhbH9Cz0tuDiY8C3ctxq1tqvaCgkFb8cCA/edit?usp=sharing"",""สุรินทร์!J526"")"),175)</f>
        <v>175</v>
      </c>
      <c r="K631" s="343">
        <f t="shared" ca="1" si="129"/>
        <v>41.666666666666664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IFERROR(__xludf.DUMMYFUNCTION("IMPORTRANGE(""https://docs.google.com/spreadsheets/d/1XL5vhW3sbDhbH9Cz0tuDiY8C3ctxq1tqvaCgkFb8cCA/edit?usp=sharing"",""สุรินทร์!I527"")"),0)</f>
        <v>0</v>
      </c>
      <c r="J632" s="342">
        <f ca="1">IFERROR(__xludf.DUMMYFUNCTION("IMPORTRANGE(""https://docs.google.com/spreadsheets/d/1XL5vhW3sbDhbH9Cz0tuDiY8C3ctxq1tqvaCgkFb8cCA/edit?usp=sharing"",""สุรินทร์!J527"")"),220759.54)</f>
        <v>220759.54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IFERROR(__xludf.DUMMYFUNCTION("IMPORTRANGE(""https://docs.google.com/spreadsheets/d/1XL5vhW3sbDhbH9Cz0tuDiY8C3ctxq1tqvaCgkFb8cCA/edit?usp=sharing"",""สุรินทร์!I528"")"),0)</f>
        <v>0</v>
      </c>
      <c r="J633" s="342">
        <f ca="1">IFERROR(__xludf.DUMMYFUNCTION("IMPORTRANGE(""https://docs.google.com/spreadsheets/d/1XL5vhW3sbDhbH9Cz0tuDiY8C3ctxq1tqvaCgkFb8cCA/edit?usp=sharing"",""สุรินทร์!J528"")"),16)</f>
        <v>16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IFERROR(__xludf.DUMMYFUNCTION("IMPORTRANGE(""https://docs.google.com/spreadsheets/d/1XL5vhW3sbDhbH9Cz0tuDiY8C3ctxq1tqvaCgkFb8cCA/edit?usp=sharing"",""สุรินทร์!I529"")"),13000000)</f>
        <v>13000000</v>
      </c>
      <c r="J634" s="342">
        <f ca="1">IFERROR(__xludf.DUMMYFUNCTION("IMPORTRANGE(""https://docs.google.com/spreadsheets/d/1XL5vhW3sbDhbH9Cz0tuDiY8C3ctxq1tqvaCgkFb8cCA/edit?usp=sharing"",""สุรินทร์!J529"")"),10500000)</f>
        <v>10500000</v>
      </c>
      <c r="K634" s="343">
        <f t="shared" ca="1" si="129"/>
        <v>80.769230769230774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IFERROR(__xludf.DUMMYFUNCTION("IMPORTRANGE(""https://docs.google.com/spreadsheets/d/1XL5vhW3sbDhbH9Cz0tuDiY8C3ctxq1tqvaCgkFb8cCA/edit?usp=sharing"",""สุรินทร์!I530"")"),351)</f>
        <v>351</v>
      </c>
      <c r="J635" s="505">
        <f ca="1">IFERROR(__xludf.DUMMYFUNCTION("IMPORTRANGE(""https://docs.google.com/spreadsheets/d/1XL5vhW3sbDhbH9Cz0tuDiY8C3ctxq1tqvaCgkFb8cCA/edit?usp=sharing"",""สุรินทร์!J530"")"),218)</f>
        <v>218</v>
      </c>
      <c r="K635" s="487">
        <f t="shared" ca="1" si="129"/>
        <v>62.10826210826211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IFERROR(__xludf.DUMMYFUNCTION("IMPORTRANGE(""https://docs.google.com/spreadsheets/d/1XL5vhW3sbDhbH9Cz0tuDiY8C3ctxq1tqvaCgkFb8cCA/edit#gid=346597447"",""สุรินทร์!J541"")"),0)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IFERROR(__xludf.DUMMYFUNCTION("IMPORTRANGE(""https://docs.google.com/spreadsheets/d/1XL5vhW3sbDhbH9Cz0tuDiY8C3ctxq1tqvaCgkFb8cCA/edit#gid=346597447"",""สุรินทร์!J542"")"),0)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IFERROR(__xludf.DUMMYFUNCTION("IMPORTRANGE(""https://docs.google.com/spreadsheets/d/1XL5vhW3sbDhbH9Cz0tuDiY8C3ctxq1tqvaCgkFb8cCA/edit#gid=346597447"",""สุรินทร์!I543"")"),0)</f>
        <v>0</v>
      </c>
      <c r="J648" s="586">
        <f ca="1">IFERROR(__xludf.DUMMYFUNCTION("IMPORTRANGE(""https://docs.google.com/spreadsheets/d/1XL5vhW3sbDhbH9Cz0tuDiY8C3ctxq1tqvaCgkFb8cCA/edit#gid=346597447"",""สุรินทร์!J543"")"),0)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IFERROR(__xludf.DUMMYFUNCTION("IMPORTRANGE(""https://docs.google.com/spreadsheets/d/1XL5vhW3sbDhbH9Cz0tuDiY8C3ctxq1tqvaCgkFb8cCA/edit#gid=346597447"",""สุรินทร์!L543"")"),0)</f>
        <v>0</v>
      </c>
      <c r="M648" s="571"/>
      <c r="N648" s="588">
        <f ca="1">IFERROR(__xludf.DUMMYFUNCTION("IMPORTRANGE(""https://docs.google.com/spreadsheets/d/1XL5vhW3sbDhbH9Cz0tuDiY8C3ctxq1tqvaCgkFb8cCA/edit#gid=346597447"",""สุรินทร์!M543"")"),0)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IFERROR(__xludf.DUMMYFUNCTION("IMPORTRANGE(""https://docs.google.com/spreadsheets/d/1XL5vhW3sbDhbH9Cz0tuDiY8C3ctxq1tqvaCgkFb8cCA/edit#gid=346597447"",""สุรินทร์!I544"")"),0)</f>
        <v>0</v>
      </c>
      <c r="J649" s="586">
        <f ca="1">IFERROR(__xludf.DUMMYFUNCTION("IMPORTRANGE(""https://docs.google.com/spreadsheets/d/1XL5vhW3sbDhbH9Cz0tuDiY8C3ctxq1tqvaCgkFb8cCA/edit#gid=346597447"",""สุรินทร์!J544"")"),0)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IFERROR(__xludf.DUMMYFUNCTION("IMPORTRANGE(""https://docs.google.com/spreadsheets/d/1XL5vhW3sbDhbH9Cz0tuDiY8C3ctxq1tqvaCgkFb8cCA/edit#gid=346597447"",""สุรินทร์!L544"")"),0)</f>
        <v>0</v>
      </c>
      <c r="M649" s="571"/>
      <c r="N649" s="588">
        <f ca="1">IFERROR(__xludf.DUMMYFUNCTION("IMPORTRANGE(""https://docs.google.com/spreadsheets/d/1XL5vhW3sbDhbH9Cz0tuDiY8C3ctxq1tqvaCgkFb8cCA/edit#gid=346597447"",""สุรินทร์!M544"")"),0)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IFERROR(__xludf.DUMMYFUNCTION("IMPORTRANGE(""https://docs.google.com/spreadsheets/d/1XL5vhW3sbDhbH9Cz0tuDiY8C3ctxq1tqvaCgkFb8cCA/edit#gid=346597447"",""สุรินทร์!I545"")"),0)</f>
        <v>0</v>
      </c>
      <c r="J650" s="586">
        <f ca="1">IFERROR(__xludf.DUMMYFUNCTION("IMPORTRANGE(""https://docs.google.com/spreadsheets/d/1XL5vhW3sbDhbH9Cz0tuDiY8C3ctxq1tqvaCgkFb8cCA/edit#gid=346597447"",""สุรินทร์!J545"")"),0)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IFERROR(__xludf.DUMMYFUNCTION("IMPORTRANGE(""https://docs.google.com/spreadsheets/d/1XL5vhW3sbDhbH9Cz0tuDiY8C3ctxq1tqvaCgkFb8cCA/edit#gid=346597447"",""สุรินทร์!L545"")"),0)</f>
        <v>0</v>
      </c>
      <c r="M650" s="571"/>
      <c r="N650" s="588">
        <f ca="1">IFERROR(__xludf.DUMMYFUNCTION("IMPORTRANGE(""https://docs.google.com/spreadsheets/d/1XL5vhW3sbDhbH9Cz0tuDiY8C3ctxq1tqvaCgkFb8cCA/edit#gid=346597447"",""สุรินทร์!M545"")"),0)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IFERROR(__xludf.DUMMYFUNCTION("IMPORTRANGE(""https://docs.google.com/spreadsheets/d/1XL5vhW3sbDhbH9Cz0tuDiY8C3ctxq1tqvaCgkFb8cCA/edit#gid=346597447"",""สุรินทร์!I546"")"),0)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IFERROR(__xludf.DUMMYFUNCTION("IMPORTRANGE(""https://docs.google.com/spreadsheets/d/1XL5vhW3sbDhbH9Cz0tuDiY8C3ctxq1tqvaCgkFb8cCA/edit#gid=346597447"",""สุรินทร์!L546"")"),0)</f>
        <v>0</v>
      </c>
      <c r="M651" s="571"/>
      <c r="N651" s="588">
        <f ca="1">IFERROR(__xludf.DUMMYFUNCTION("IMPORTRANGE(""https://docs.google.com/spreadsheets/d/1XL5vhW3sbDhbH9Cz0tuDiY8C3ctxq1tqvaCgkFb8cCA/edit#gid=346597447"",""สุรินทร์!M546"")"),0)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IFERROR(__xludf.DUMMYFUNCTION("IMPORTRANGE(""https://docs.google.com/spreadsheets/d/1XL5vhW3sbDhbH9Cz0tuDiY8C3ctxq1tqvaCgkFb8cCA/edit#gid=346597447"",""สุรินทร์!J547"")"),0)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IFERROR(__xludf.DUMMYFUNCTION("IMPORTRANGE(""https://docs.google.com/spreadsheets/d/1XL5vhW3sbDhbH9Cz0tuDiY8C3ctxq1tqvaCgkFb8cCA/edit#gid=346597447"",""สุรินทร์!J548"")"),0)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IFERROR(__xludf.DUMMYFUNCTION("IMPORTRANGE(""https://docs.google.com/spreadsheets/d/1XL5vhW3sbDhbH9Cz0tuDiY8C3ctxq1tqvaCgkFb8cCA/edit#gid=346597447"",""สุรินทร์!J550"")"),0)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IFERROR(__xludf.DUMMYFUNCTION("IMPORTRANGE(""https://docs.google.com/spreadsheets/d/1XL5vhW3sbDhbH9Cz0tuDiY8C3ctxq1tqvaCgkFb8cCA/edit#gid=346597447"",""สุรินทร์!J551"")"),0)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IFERROR(__xludf.DUMMYFUNCTION("IMPORTRANGE(""https://docs.google.com/spreadsheets/d/1XL5vhW3sbDhbH9Cz0tuDiY8C3ctxq1tqvaCgkFb8cCA/edit#gid=346597447"",""สุรินทร์!J552"")"),0)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IFERROR(__xludf.DUMMYFUNCTION("IMPORTRANGE(""https://docs.google.com/spreadsheets/d/1XL5vhW3sbDhbH9Cz0tuDiY8C3ctxq1tqvaCgkFb8cCA/edit#gid=346597447"",""สุรินทร์!J553"")"),0)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IFERROR(__xludf.DUMMYFUNCTION("IMPORTRANGE(""https://docs.google.com/spreadsheets/d/1XL5vhW3sbDhbH9Cz0tuDiY8C3ctxq1tqvaCgkFb8cCA/edit#gid=346597447"",""สุรินทร์!J554"")"),0)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IFERROR(__xludf.DUMMYFUNCTION("IMPORTRANGE(""https://docs.google.com/spreadsheets/d/1XL5vhW3sbDhbH9Cz0tuDiY8C3ctxq1tqvaCgkFb8cCA/edit#gid=346597447"",""สุรินทร์!J555"")"),0)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IFERROR(__xludf.DUMMYFUNCTION("IMPORTRANGE(""https://docs.google.com/spreadsheets/d/1XL5vhW3sbDhbH9Cz0tuDiY8C3ctxq1tqvaCgkFb8cCA/edit#gid=346597447"",""สุรินทร์!J556"")"),0)</f>
        <v>0</v>
      </c>
      <c r="K661" s="587"/>
      <c r="L661" s="572">
        <f ca="1">IFERROR(__xludf.DUMMYFUNCTION("IMPORTRANGE(""https://docs.google.com/spreadsheets/d/1XL5vhW3sbDhbH9Cz0tuDiY8C3ctxq1tqvaCgkFb8cCA/edit#gid=346597447"",""สุรินทร์!L556"")"),0)</f>
        <v>0</v>
      </c>
      <c r="M661" s="571"/>
      <c r="N661" s="588">
        <f ca="1">IFERROR(__xludf.DUMMYFUNCTION("IMPORTRANGE(""https://docs.google.com/spreadsheets/d/1XL5vhW3sbDhbH9Cz0tuDiY8C3ctxq1tqvaCgkFb8cCA/edit#gid=346597447"",""สุรินทร์!M556"")"),0)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IFERROR(__xludf.DUMMYFUNCTION("IMPORTRANGE(""https://docs.google.com/spreadsheets/d/1XL5vhW3sbDhbH9Cz0tuDiY8C3ctxq1tqvaCgkFb8cCA/edit#gid=346597447"",""สุรินทร์!J557"")"),0)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IFERROR(__xludf.DUMMYFUNCTION("IMPORTRANGE(""https://docs.google.com/spreadsheets/d/1XL5vhW3sbDhbH9Cz0tuDiY8C3ctxq1tqvaCgkFb8cCA/edit#gid=346597447"",""สุรินทร์!I558"")"),0)</f>
        <v>0</v>
      </c>
      <c r="J663" s="586">
        <f ca="1">IFERROR(__xludf.DUMMYFUNCTION("IMPORTRANGE(""https://docs.google.com/spreadsheets/d/1XL5vhW3sbDhbH9Cz0tuDiY8C3ctxq1tqvaCgkFb8cCA/edit#gid=346597447"",""สุรินทร์!J558"")"),0)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IFERROR(__xludf.DUMMYFUNCTION("IMPORTRANGE(""https://docs.google.com/spreadsheets/d/1XL5vhW3sbDhbH9Cz0tuDiY8C3ctxq1tqvaCgkFb8cCA/edit#gid=346597447"",""สุรินทร์!I560"")"),0)</f>
        <v>0</v>
      </c>
      <c r="J665" s="586">
        <f ca="1">IFERROR(__xludf.DUMMYFUNCTION("IMPORTRANGE(""https://docs.google.com/spreadsheets/d/1XL5vhW3sbDhbH9Cz0tuDiY8C3ctxq1tqvaCgkFb8cCA/edit#gid=346597447"",""สุรินทร์!J560"")"),0)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IFERROR(__xludf.DUMMYFUNCTION("IMPORTRANGE(""https://docs.google.com/spreadsheets/d/1XL5vhW3sbDhbH9Cz0tuDiY8C3ctxq1tqvaCgkFb8cCA/edit#gid=346597447"",""สุรินทร์!L560"")"),0)</f>
        <v>0</v>
      </c>
      <c r="M665" s="571"/>
      <c r="N665" s="588">
        <f ca="1">IFERROR(__xludf.DUMMYFUNCTION("IMPORTRANGE(""https://docs.google.com/spreadsheets/d/1XL5vhW3sbDhbH9Cz0tuDiY8C3ctxq1tqvaCgkFb8cCA/edit#gid=346597447"",""สุรินทร์!M560"")"),0)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IFERROR(__xludf.DUMMYFUNCTION("IMPORTRANGE(""https://docs.google.com/spreadsheets/d/1XL5vhW3sbDhbH9Cz0tuDiY8C3ctxq1tqvaCgkFb8cCA/edit#gid=346597447"",""สุรินทร์!J561"")"),0)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IFERROR(__xludf.DUMMYFUNCTION("IMPORTRANGE(""https://docs.google.com/spreadsheets/d/1XL5vhW3sbDhbH9Cz0tuDiY8C3ctxq1tqvaCgkFb8cCA/edit#gid=346597447"",""สุรินทร์!J562"")"),0)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IFERROR(__xludf.DUMMYFUNCTION("IMPORTRANGE(""https://docs.google.com/spreadsheets/d/1XL5vhW3sbDhbH9Cz0tuDiY8C3ctxq1tqvaCgkFb8cCA/edit#gid=346597447"",""สุรินทร์!I563"")"),0)</f>
        <v>0</v>
      </c>
      <c r="J668" s="586">
        <f ca="1">IFERROR(__xludf.DUMMYFUNCTION("IMPORTRANGE(""https://docs.google.com/spreadsheets/d/1XL5vhW3sbDhbH9Cz0tuDiY8C3ctxq1tqvaCgkFb8cCA/edit#gid=346597447"",""สุรินทร์!J563"")"),0)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IFERROR(__xludf.DUMMYFUNCTION("IMPORTRANGE(""https://docs.google.com/spreadsheets/d/1XL5vhW3sbDhbH9Cz0tuDiY8C3ctxq1tqvaCgkFb8cCA/edit#gid=346597447"",""สุรินทร์!L563"")"),0)</f>
        <v>0</v>
      </c>
      <c r="M668" s="571"/>
      <c r="N668" s="588">
        <f ca="1">IFERROR(__xludf.DUMMYFUNCTION("IMPORTRANGE(""https://docs.google.com/spreadsheets/d/1XL5vhW3sbDhbH9Cz0tuDiY8C3ctxq1tqvaCgkFb8cCA/edit#gid=346597447"",""สุรินทร์!M563"")"),0)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IFERROR(__xludf.DUMMYFUNCTION("IMPORTRANGE(""https://docs.google.com/spreadsheets/d/1XL5vhW3sbDhbH9Cz0tuDiY8C3ctxq1tqvaCgkFb8cCA/edit#gid=346597447"",""สุรินทร์!J564"")"),0)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IFERROR(__xludf.DUMMYFUNCTION("IMPORTRANGE(""https://docs.google.com/spreadsheets/d/1XL5vhW3sbDhbH9Cz0tuDiY8C3ctxq1tqvaCgkFb8cCA/edit#gid=346597447"",""สุรินทร์!J565"")"),0)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IFERROR(__xludf.DUMMYFUNCTION("IMPORTRANGE(""https://docs.google.com/spreadsheets/d/1XL5vhW3sbDhbH9Cz0tuDiY8C3ctxq1tqvaCgkFb8cCA/edit#gid=346597447"",""สุรินทร์!I566"")"),0)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IFERROR(__xludf.DUMMYFUNCTION("IMPORTRANGE(""https://docs.google.com/spreadsheets/d/1XL5vhW3sbDhbH9Cz0tuDiY8C3ctxq1tqvaCgkFb8cCA/edit#gid=346597447"",""สุรินทร์!L566"")"),0)</f>
        <v>0</v>
      </c>
      <c r="M671" s="571"/>
      <c r="N671" s="588">
        <f ca="1">IFERROR(__xludf.DUMMYFUNCTION("IMPORTRANGE(""https://docs.google.com/spreadsheets/d/1XL5vhW3sbDhbH9Cz0tuDiY8C3ctxq1tqvaCgkFb8cCA/edit#gid=346597447"",""สุรินทร์!M566"")"),0)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IFERROR(__xludf.DUMMYFUNCTION("IMPORTRANGE(""https://docs.google.com/spreadsheets/d/1XL5vhW3sbDhbH9Cz0tuDiY8C3ctxq1tqvaCgkFb8cCA/edit#gid=346597447"",""สุรินทร์!J567"")"),0)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IFERROR(__xludf.DUMMYFUNCTION("IMPORTRANGE(""https://docs.google.com/spreadsheets/d/1XL5vhW3sbDhbH9Cz0tuDiY8C3ctxq1tqvaCgkFb8cCA/edit#gid=346597447"",""สุรินทร์!J568"")"),0)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IFERROR(__xludf.DUMMYFUNCTION("IMPORTRANGE(""https://docs.google.com/spreadsheets/d/1XL5vhW3sbDhbH9Cz0tuDiY8C3ctxq1tqvaCgkFb8cCA/edit#gid=346597447"",""สุรินทร์!J569"")"),0)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IFERROR(__xludf.DUMMYFUNCTION("IMPORTRANGE(""https://docs.google.com/spreadsheets/d/1XL5vhW3sbDhbH9Cz0tuDiY8C3ctxq1tqvaCgkFb8cCA/edit#gid=346597447"",""สุรินทร์!J570"")"),0)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IFERROR(__xludf.DUMMYFUNCTION("IMPORTRANGE(""https://docs.google.com/spreadsheets/d/1XL5vhW3sbDhbH9Cz0tuDiY8C3ctxq1tqvaCgkFb8cCA/edit#gid=346597447"",""สุรินทร์!J571"")"),0)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IFERROR(__xludf.DUMMYFUNCTION("IMPORTRANGE(""https://docs.google.com/spreadsheets/d/1XL5vhW3sbDhbH9Cz0tuDiY8C3ctxq1tqvaCgkFb8cCA/edit#gid=346597447"",""สุรินทร์!J572"")"),0)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6943951</v>
      </c>
      <c r="M8" s="23">
        <f t="shared" ca="1" si="0"/>
        <v>4520721.84</v>
      </c>
      <c r="N8" s="23">
        <f t="shared" ca="1" si="0"/>
        <v>5767598.959999999</v>
      </c>
      <c r="O8" s="22">
        <f t="shared" ref="O8:O16" ca="1" si="1">IF(L8&gt;0,N8*100/L8,0)</f>
        <v>83.059326887531299</v>
      </c>
      <c r="P8" s="22">
        <f t="shared" ref="P8:P16" ca="1" si="2">IF(M8&gt;0,N8*100/M8,0)</f>
        <v>127.58137227040713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6943951</v>
      </c>
      <c r="M10" s="30">
        <f t="shared" ca="1" si="4"/>
        <v>4520721.84</v>
      </c>
      <c r="N10" s="30">
        <f t="shared" ca="1" si="4"/>
        <v>5767598.959999999</v>
      </c>
      <c r="O10" s="29">
        <f t="shared" ca="1" si="1"/>
        <v>83.059326887531299</v>
      </c>
      <c r="P10" s="29">
        <f t="shared" ca="1" si="2"/>
        <v>127.58137227040713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6277151</v>
      </c>
      <c r="M12" s="38">
        <f t="shared" ca="1" si="6"/>
        <v>3853921.84</v>
      </c>
      <c r="N12" s="38">
        <f t="shared" ca="1" si="6"/>
        <v>5300798.959999999</v>
      </c>
      <c r="O12" s="38">
        <f t="shared" ca="1" si="1"/>
        <v>84.445936699626927</v>
      </c>
      <c r="P12" s="38">
        <f t="shared" ca="1" si="2"/>
        <v>137.54298037346805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4025751</v>
      </c>
      <c r="M14" s="38">
        <f t="shared" si="8"/>
        <v>0</v>
      </c>
      <c r="N14" s="38">
        <f t="shared" ca="1" si="8"/>
        <v>1900217.189999999</v>
      </c>
      <c r="O14" s="38">
        <f t="shared" ca="1" si="1"/>
        <v>47.201557920497294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666800</v>
      </c>
      <c r="M16" s="38">
        <f t="shared" ca="1" si="10"/>
        <v>666800</v>
      </c>
      <c r="N16" s="38">
        <f t="shared" ca="1" si="10"/>
        <v>466800</v>
      </c>
      <c r="O16" s="49">
        <f t="shared" ca="1" si="1"/>
        <v>70.005998800239951</v>
      </c>
      <c r="P16" s="49">
        <f t="shared" ca="1" si="2"/>
        <v>70.005998800239951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4485095</v>
      </c>
      <c r="M18" s="23">
        <f t="shared" ca="1" si="11"/>
        <v>4520721.84</v>
      </c>
      <c r="N18" s="23">
        <f t="shared" ca="1" si="11"/>
        <v>3867381.77</v>
      </c>
      <c r="O18" s="22">
        <f t="shared" ref="O18:O20" ca="1" si="12">IF(L18&gt;0,N18*100/L18,0)</f>
        <v>86.227421492744298</v>
      </c>
      <c r="P18" s="22">
        <f t="shared" ref="P18:P26" ca="1" si="13">IF(M18&gt;0,N18*100/M18,0)</f>
        <v>85.547881663075302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4485095</v>
      </c>
      <c r="M20" s="30">
        <f t="shared" ca="1" si="15"/>
        <v>4520721.84</v>
      </c>
      <c r="N20" s="30">
        <f t="shared" ca="1" si="15"/>
        <v>3867381.77</v>
      </c>
      <c r="O20" s="29">
        <f t="shared" ca="1" si="12"/>
        <v>86.227421492744298</v>
      </c>
      <c r="P20" s="29">
        <f t="shared" ca="1" si="13"/>
        <v>85.547881663075302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3818295</v>
      </c>
      <c r="M22" s="41">
        <f t="shared" ca="1" si="18"/>
        <v>3853921.84</v>
      </c>
      <c r="N22" s="38">
        <f t="shared" ca="1" si="18"/>
        <v>3400581.77</v>
      </c>
      <c r="O22" s="38">
        <f t="shared" ca="1" si="17"/>
        <v>89.060215881695882</v>
      </c>
      <c r="P22" s="38">
        <f t="shared" ca="1" si="13"/>
        <v>88.236915827021548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1566895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666800</v>
      </c>
      <c r="M26" s="49">
        <f t="shared" ca="1" si="22"/>
        <v>666800</v>
      </c>
      <c r="N26" s="49">
        <f t="shared" ca="1" si="22"/>
        <v>466800</v>
      </c>
      <c r="O26" s="49">
        <f t="shared" ca="1" si="17"/>
        <v>70.005998800239951</v>
      </c>
      <c r="P26" s="49">
        <f t="shared" ca="1" si="13"/>
        <v>70.005998800239951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2458856</v>
      </c>
      <c r="M28" s="23">
        <f t="shared" si="23"/>
        <v>0</v>
      </c>
      <c r="N28" s="23">
        <f t="shared" ca="1" si="23"/>
        <v>1900217.189999999</v>
      </c>
      <c r="O28" s="22">
        <f t="shared" ref="O28:O30" ca="1" si="24">IF(L28&gt;0,N28*100/L28,0)</f>
        <v>77.280539812010105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2458856</v>
      </c>
      <c r="M30" s="30">
        <f t="shared" si="27"/>
        <v>0</v>
      </c>
      <c r="N30" s="30">
        <f t="shared" ca="1" si="27"/>
        <v>1900217.189999999</v>
      </c>
      <c r="O30" s="29">
        <f t="shared" ca="1" si="24"/>
        <v>77.280539812010105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2458856</v>
      </c>
      <c r="M32" s="38">
        <f t="shared" si="30"/>
        <v>0</v>
      </c>
      <c r="N32" s="38">
        <f t="shared" ca="1" si="30"/>
        <v>1900217.189999999</v>
      </c>
      <c r="O32" s="38">
        <f t="shared" ca="1" si="29"/>
        <v>77.280539812010105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2458856</v>
      </c>
      <c r="M34" s="38">
        <f t="shared" si="32"/>
        <v>0</v>
      </c>
      <c r="N34" s="38">
        <f t="shared" ca="1" si="32"/>
        <v>1900217.189999999</v>
      </c>
      <c r="O34" s="38">
        <f t="shared" ca="1" si="29"/>
        <v>77.280539812010105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4485095</v>
      </c>
      <c r="M37" s="54">
        <f t="shared" ca="1" si="33"/>
        <v>4520721.84</v>
      </c>
      <c r="N37" s="54">
        <f t="shared" ca="1" si="33"/>
        <v>3867381.77</v>
      </c>
      <c r="O37" s="55">
        <f t="shared" ca="1" si="29"/>
        <v>86.227421492744298</v>
      </c>
      <c r="P37" s="55">
        <f t="shared" ca="1" si="25"/>
        <v>85.547881663075302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947491</v>
      </c>
      <c r="N41" s="78">
        <f t="shared" ca="1" si="34"/>
        <v>810942.89</v>
      </c>
      <c r="O41" s="77">
        <f t="shared" ref="O41:O43" ca="1" si="35">IF(L41&gt;0,N41*100/L41,0)</f>
        <v>86.537497598975563</v>
      </c>
      <c r="P41" s="77">
        <f t="shared" ref="P41:P43" ca="1" si="36">IF(M41&gt;0,N41*100/M41,0)</f>
        <v>85.588453082931665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947491</v>
      </c>
      <c r="N43" s="78">
        <f t="shared" ca="1" si="38"/>
        <v>810942.89</v>
      </c>
      <c r="O43" s="77">
        <f t="shared" ca="1" si="35"/>
        <v>86.537497598975563</v>
      </c>
      <c r="P43" s="77">
        <f t="shared" ca="1" si="36"/>
        <v>85.588453082931665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623">
        <f ca="1">IFERROR(__xludf.DUMMYFUNCTION("IMPORTRANGE(""https://docs.google.com/spreadsheets/d/1Yj_ptqi66GCucihVvJfMjLAmec39IyEx_6qawtMGysU/edit?usp=sharing"",""สบก!Q53"")"),851491)</f>
        <v>851491</v>
      </c>
      <c r="N45" s="623">
        <f ca="1">IFERROR(__xludf.DUMMYFUNCTION("IMPORTRANGE(""https://docs.google.com/spreadsheets/d/1Yj_ptqi66GCucihVvJfMjLAmec39IyEx_6qawtMGysU/edit?usp=sharing"",""สบก!R53"")"),714942.89)</f>
        <v>714942.89</v>
      </c>
      <c r="O45" s="624">
        <f ca="1">IF(L45&gt;0,N45*100/L45,0)</f>
        <v>85.000938057305902</v>
      </c>
      <c r="P45" s="624">
        <f ca="1">IF(M45&gt;0,N45*100/M45,0)</f>
        <v>83.963646121920249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IFERROR(__xludf.DUMMYFUNCTION("IMPORTRANGE(""https://docs.google.com/spreadsheets/d/1Yj_ptqi66GCucihVvJfMjLAmec39IyEx_6qawtMGysU/edit?usp=sharing"",""สบก!M53"")"),841100)</f>
        <v>841100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IFERROR(__xludf.DUMMYFUNCTION("IMPORTRANGE(""https://docs.google.com/spreadsheets/d/1Yj_ptqi66GCucihVvJfMjLAmec39IyEx_6qawtMGysU/edit?usp=sharing"",""สบก!O53"")"),96000)</f>
        <v>96000</v>
      </c>
      <c r="M49" s="626">
        <f ca="1">L49</f>
        <v>96000</v>
      </c>
      <c r="N49" s="623">
        <f ca="1">IFERROR(__xludf.DUMMYFUNCTION("IMPORTRANGE(""https://docs.google.com/spreadsheets/d/1Yj_ptqi66GCucihVvJfMjLAmec39IyEx_6qawtMGysU/edit?usp=sharing"",""สบก!S53"")"),96000)</f>
        <v>96000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744015.84</v>
      </c>
      <c r="N53" s="121">
        <f t="shared" ca="1" si="39"/>
        <v>673196</v>
      </c>
      <c r="O53" s="120">
        <f t="shared" ref="O53:O55" ca="1" si="40">IF(L53&gt;0,N53*100/L53,0)</f>
        <v>99.467494089834517</v>
      </c>
      <c r="P53" s="120">
        <f t="shared" ref="P53:P55" ca="1" si="41">IF(M53&gt;0,N53*100/M53,0)</f>
        <v>90.481406954991712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744015.84</v>
      </c>
      <c r="N55" s="121">
        <f t="shared" ca="1" si="43"/>
        <v>673196</v>
      </c>
      <c r="O55" s="120">
        <f t="shared" ca="1" si="40"/>
        <v>99.467494089834517</v>
      </c>
      <c r="P55" s="120">
        <f t="shared" ca="1" si="41"/>
        <v>90.481406954991712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623">
        <f ca="1">IFERROR(__xludf.DUMMYFUNCTION("IMPORTRANGE(""https://docs.google.com/spreadsheets/d/1Yj_ptqi66GCucihVvJfMjLAmec39IyEx_6qawtMGysU/edit?usp=sharing"",""สบก!Z53"")"),744015.84)</f>
        <v>744015.84</v>
      </c>
      <c r="N57" s="623">
        <f ca="1">IFERROR(__xludf.DUMMYFUNCTION("IMPORTRANGE(""https://docs.google.com/spreadsheets/d/1Yj_ptqi66GCucihVvJfMjLAmec39IyEx_6qawtMGysU/edit?usp=sharing"",""สบก!AA53"")"),673196)</f>
        <v>673196</v>
      </c>
      <c r="O57" s="624">
        <f ca="1">IF(L57&gt;0,N57*100/L57,0)</f>
        <v>99.467494089834517</v>
      </c>
      <c r="P57" s="624">
        <f ca="1">IF(M57&gt;0,N57*100/M57,0)</f>
        <v>90.481406954991712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IFERROR(__xludf.DUMMYFUNCTION("IMPORTRANGE(""https://docs.google.com/spreadsheets/d/1Yj_ptqi66GCucihVvJfMjLAmec39IyEx_6qawtMGysU/edit?usp=sharing"",""สบก!V53"")"),676800)</f>
        <v>676800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IFERROR(__xludf.DUMMYFUNCTION("IMPORTRANGE(""https://docs.google.com/spreadsheets/d/1Yj_ptqi66GCucihVvJfMjLAmec39IyEx_6qawtMGysU/edit?usp=sharing"",""สบก!X53"")"),0)</f>
        <v>0</v>
      </c>
      <c r="M61" s="626"/>
      <c r="N61" s="623">
        <f ca="1">IFERROR(__xludf.DUMMYFUNCTION("IMPORTRANGE(""https://docs.google.com/spreadsheets/d/1Yj_ptqi66GCucihVvJfMjLAmec39IyEx_6qawtMGysU/edit?usp=sharing"",""สบก!AB53"")"),0)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1074700</v>
      </c>
      <c r="M66" s="152">
        <f t="shared" ca="1" si="45"/>
        <v>1081320</v>
      </c>
      <c r="N66" s="152">
        <f t="shared" ca="1" si="45"/>
        <v>790362.57</v>
      </c>
      <c r="O66" s="151">
        <f t="shared" ref="O66:O68" ca="1" si="46">IF(L66&gt;0,N66*100/L66,0)</f>
        <v>73.542623057597467</v>
      </c>
      <c r="P66" s="151">
        <f t="shared" ref="P66:P68" ca="1" si="47">IF(M66&gt;0,N66*100/M66,0)</f>
        <v>73.092384308067921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1074700</v>
      </c>
      <c r="M68" s="157">
        <f t="shared" ca="1" si="49"/>
        <v>1081320</v>
      </c>
      <c r="N68" s="157">
        <f t="shared" ca="1" si="49"/>
        <v>790362.57</v>
      </c>
      <c r="O68" s="156">
        <f t="shared" ca="1" si="46"/>
        <v>73.542623057597467</v>
      </c>
      <c r="P68" s="156">
        <f t="shared" ca="1" si="47"/>
        <v>73.092384308067921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874700</v>
      </c>
      <c r="M70" s="627">
        <f ca="1">IFERROR(__xludf.DUMMYFUNCTION("IMPORTRANGE(""https://docs.google.com/spreadsheets/d/1Yj_ptqi66GCucihVvJfMjLAmec39IyEx_6qawtMGysU/edit?usp=sharing"",""สบก!AI53"")"),881320)</f>
        <v>881320</v>
      </c>
      <c r="N70" s="628">
        <f ca="1">IFERROR(__xludf.DUMMYFUNCTION("IMPORTRANGE(""https://docs.google.com/spreadsheets/d/1Yj_ptqi66GCucihVvJfMjLAmec39IyEx_6qawtMGysU/edit?usp=sharing"",""สบก!AJ53"")"),790362.57)</f>
        <v>790362.57</v>
      </c>
      <c r="O70" s="169">
        <f ca="1">IF(L70&gt;0,N70*100/L70,0)</f>
        <v>90.358130787698641</v>
      </c>
      <c r="P70" s="169">
        <f ca="1">IF(M70&gt;0,N70*100/M70,0)</f>
        <v>89.67940929514819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IFERROR(__xludf.DUMMYFUNCTION("IMPORTRANGE(""https://docs.google.com/spreadsheets/d/1Yj_ptqi66GCucihVvJfMjLAmec39IyEx_6qawtMGysU/edit?usp=sharing"",""สบก!AF53"")"),558800)</f>
        <v>558800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IFERROR(__xludf.DUMMYFUNCTION("IMPORTRANGE(""https://docs.google.com/spreadsheets/d/1Yj_ptqi66GCucihVvJfMjLAmec39IyEx_6qawtMGysU/edit?usp=sharing"",""สบก!AG53"")"),200000)</f>
        <v>200000</v>
      </c>
      <c r="M74" s="626">
        <f ca="1">L74</f>
        <v>200000</v>
      </c>
      <c r="N74" s="623">
        <f ca="1">IFERROR(__xludf.DUMMYFUNCTION("IMPORTRANGE(""https://docs.google.com/spreadsheets/d/1Yj_ptqi66GCucihVvJfMjLAmec39IyEx_6qawtMGysU/edit?usp=sharing"",""สบก!AK53"")"),0)</f>
        <v>0</v>
      </c>
      <c r="O74" s="626">
        <f ca="1">IF(L74&gt;0,N74*100/L74,0)</f>
        <v>0</v>
      </c>
      <c r="P74" s="626">
        <f ca="1">IF(M74&gt;0,N74*100/M74,0)</f>
        <v>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IFERROR(__xludf.DUMMYFUNCTION("IMPORTRANGE(""https://docs.google.com/spreadsheets/d/1XL5vhW3sbDhbH9Cz0tuDiY8C3ctxq1tqvaCgkFb8cCA/edit?usp=sharing"",""หนองคาย!I28"")"),1)</f>
        <v>1</v>
      </c>
      <c r="J88" s="204">
        <f ca="1">IFERROR(__xludf.DUMMYFUNCTION("IMPORTRANGE(""https://docs.google.com/spreadsheets/d/1XL5vhW3sbDhbH9Cz0tuDiY8C3ctxq1tqvaCgkFb8cCA/edit?usp=sharing"",""หนองคาย!J28"")"),1)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319800</v>
      </c>
      <c r="N94" s="152">
        <f t="shared" ca="1" si="52"/>
        <v>280865</v>
      </c>
      <c r="O94" s="151">
        <f t="shared" ref="O94:O96" ca="1" si="53">IF(L94&gt;0,N94*100/L94,0)</f>
        <v>87.825203252032523</v>
      </c>
      <c r="P94" s="151">
        <f t="shared" ref="P94:P96" ca="1" si="54">IF(M94&gt;0,N94*100/M94,0)</f>
        <v>87.825203252032523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319800</v>
      </c>
      <c r="N96" s="157">
        <f t="shared" ca="1" si="56"/>
        <v>280865</v>
      </c>
      <c r="O96" s="156">
        <f t="shared" ca="1" si="53"/>
        <v>87.825203252032523</v>
      </c>
      <c r="P96" s="156">
        <f t="shared" ca="1" si="54"/>
        <v>87.825203252032523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627">
        <f ca="1">IFERROR(__xludf.DUMMYFUNCTION("IMPORTRANGE(""https://docs.google.com/spreadsheets/d/1Yj_ptqi66GCucihVvJfMjLAmec39IyEx_6qawtMGysU/edit?usp=sharing"",""สบก!AR53"")"),135000)</f>
        <v>135000</v>
      </c>
      <c r="N98" s="628">
        <f ca="1">IFERROR(__xludf.DUMMYFUNCTION("IMPORTRANGE(""https://docs.google.com/spreadsheets/d/1Yj_ptqi66GCucihVvJfMjLAmec39IyEx_6qawtMGysU/edit?usp=sharing"",""สบก!AS53"")"),96065)</f>
        <v>96065</v>
      </c>
      <c r="O98" s="169">
        <f ca="1">IF(L98&gt;0,N98*100/L98,0)</f>
        <v>71.159259259259258</v>
      </c>
      <c r="P98" s="169">
        <f ca="1">IF(M98&gt;0,N98*100/M98,0)</f>
        <v>71.159259259259258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IFERROR(__xludf.DUMMYFUNCTION("IMPORTRANGE(""https://docs.google.com/spreadsheets/d/1Yj_ptqi66GCucihVvJfMjLAmec39IyEx_6qawtMGysU/edit?usp=sharing"",""สบก!AP53"")"),184800)</f>
        <v>184800</v>
      </c>
      <c r="M102" s="626">
        <f ca="1">L102</f>
        <v>184800</v>
      </c>
      <c r="N102" s="623">
        <f ca="1">IFERROR(__xludf.DUMMYFUNCTION("IMPORTRANGE(""https://docs.google.com/spreadsheets/d/1Yj_ptqi66GCucihVvJfMjLAmec39IyEx_6qawtMGysU/edit?usp=sharing"",""สบก!AT53"")"),184800)</f>
        <v>184800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5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5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5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66807.02</v>
      </c>
      <c r="O118" s="151">
        <f t="shared" ref="O118:O120" ca="1" si="59">IF(L118&gt;0,N118*100/L118,0)</f>
        <v>81.037142163998055</v>
      </c>
      <c r="P118" s="151">
        <f t="shared" ref="P118:P120" ca="1" si="60">IF(M118&gt;0,N118*100/M118,0)</f>
        <v>81.037142163998055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66807.02</v>
      </c>
      <c r="O120" s="156">
        <f t="shared" ca="1" si="59"/>
        <v>81.037142163998055</v>
      </c>
      <c r="P120" s="156">
        <f t="shared" ca="1" si="60"/>
        <v>81.037142163998055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IFERROR(__xludf.DUMMYFUNCTION("IMPORTRANGE(""https://docs.google.com/spreadsheets/d/1Yj_ptqi66GCucihVvJfMjLAmec39IyEx_6qawtMGysU/edit?usp=sharing"",""สบก!BA53"")"),82440)</f>
        <v>82440</v>
      </c>
      <c r="N122" s="628">
        <f ca="1">IFERROR(__xludf.DUMMYFUNCTION("IMPORTRANGE(""https://docs.google.com/spreadsheets/d/1Yj_ptqi66GCucihVvJfMjLAmec39IyEx_6qawtMGysU/edit?usp=sharing"",""สบก!BB53"")"),66807.02)</f>
        <v>66807.02</v>
      </c>
      <c r="O122" s="169">
        <f ca="1">IF(L122&gt;0,N122*100/L122,0)</f>
        <v>81.037142163998055</v>
      </c>
      <c r="P122" s="169">
        <f ca="1">IF(M122&gt;0,N122*100/M122,0)</f>
        <v>81.037142163998055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IFERROR(__xludf.DUMMYFUNCTION("IMPORTRANGE(""https://docs.google.com/spreadsheets/d/1Yj_ptqi66GCucihVvJfMjLAmec39IyEx_6qawtMGysU/edit?usp=sharing"",""สบก!AX53"")"),82440)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IFERROR(__xludf.DUMMYFUNCTION("IMPORTRANGE(""https://docs.google.com/spreadsheets/d/1Yj_ptqi66GCucihVvJfMjLAmec39IyEx_6qawtMGysU/edit?usp=sharing"",""สบก!AY53"")"),0)</f>
        <v>0</v>
      </c>
      <c r="M126" s="626"/>
      <c r="N126" s="623">
        <f ca="1">IFERROR(__xludf.DUMMYFUNCTION("IMPORTRANGE(""https://docs.google.com/spreadsheets/d/1Yj_ptqi66GCucihVvJfMjLAmec39IyEx_6qawtMGysU/edit?usp=sharing"",""สบก!BC53"")"),0)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82209</v>
      </c>
      <c r="O140" s="151">
        <f t="shared" ref="O140:O142" ca="1" si="65">IF(L140&gt;0,N140*100/L140,0)</f>
        <v>94.493103448275861</v>
      </c>
      <c r="P140" s="151">
        <f t="shared" ref="P140:P142" ca="1" si="66">IF(M140&gt;0,N140*100/M140,0)</f>
        <v>94.493103448275861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82209</v>
      </c>
      <c r="O142" s="156">
        <f t="shared" ca="1" si="65"/>
        <v>94.493103448275861</v>
      </c>
      <c r="P142" s="156">
        <f t="shared" ca="1" si="66"/>
        <v>94.493103448275861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IFERROR(__xludf.DUMMYFUNCTION("IMPORTRANGE(""https://docs.google.com/spreadsheets/d/1Yj_ptqi66GCucihVvJfMjLAmec39IyEx_6qawtMGysU/edit?usp=sharing"",""สบก!BJ53"")"),87000)</f>
        <v>87000</v>
      </c>
      <c r="N144" s="628">
        <f ca="1">IFERROR(__xludf.DUMMYFUNCTION("IMPORTRANGE(""https://docs.google.com/spreadsheets/d/1Yj_ptqi66GCucihVvJfMjLAmec39IyEx_6qawtMGysU/edit?usp=sharing"",""สบก!BK53"")"),82209)</f>
        <v>82209</v>
      </c>
      <c r="O144" s="169">
        <f ca="1">IF(L144&gt;0,N144*100/L144,0)</f>
        <v>94.493103448275861</v>
      </c>
      <c r="P144" s="169">
        <f ca="1">IF(M144&gt;0,N144*100/M144,0)</f>
        <v>94.493103448275861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IFERROR(__xludf.DUMMYFUNCTION("IMPORTRANGE(""https://docs.google.com/spreadsheets/d/1Yj_ptqi66GCucihVvJfMjLAmec39IyEx_6qawtMGysU/edit?usp=sharing"",""สบก!BG53"")"),87000)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IFERROR(__xludf.DUMMYFUNCTION("IMPORTRANGE(""https://docs.google.com/spreadsheets/d/1Yj_ptqi66GCucihVvJfMjLAmec39IyEx_6qawtMGysU/edit?usp=sharing"",""สบก!BH53"")"),0)</f>
        <v>0</v>
      </c>
      <c r="M148" s="626"/>
      <c r="N148" s="623">
        <f ca="1">IFERROR(__xludf.DUMMYFUNCTION("IMPORTRANGE(""https://docs.google.com/spreadsheets/d/1Yj_ptqi66GCucihVvJfMjLAmec39IyEx_6qawtMGysU/edit?usp=sharing"",""สบก!BL53"")"),0)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IFERROR(__xludf.DUMMYFUNCTION("IMPORTRANGE(""https://docs.google.com/spreadsheets/d/1XL5vhW3sbDhbH9Cz0tuDiY8C3ctxq1tqvaCgkFb8cCA/edit?usp=sharing"",""หนองคาย!I89"")"),3)</f>
        <v>3</v>
      </c>
      <c r="J164" s="285">
        <f ca="1">IFERROR(__xludf.DUMMYFUNCTION("IMPORTRANGE(""https://docs.google.com/spreadsheets/d/1XL5vhW3sbDhbH9Cz0tuDiY8C3ctxq1tqvaCgkFb8cCA/edit?usp=sharing"",""หนองคาย!J89"")"),3)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IFERROR(__xludf.DUMMYFUNCTION("IMPORTRANGE(""https://docs.google.com/spreadsheets/d/1XL5vhW3sbDhbH9Cz0tuDiY8C3ctxq1tqvaCgkFb8cCA/edit?usp=sharing"",""หนองคาย!J100"")"),0)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IFERROR(__xludf.DUMMYFUNCTION("IMPORTRANGE(""https://docs.google.com/spreadsheets/d/1XL5vhW3sbDhbH9Cz0tuDiY8C3ctxq1tqvaCgkFb8cCA/edit?usp=sharing"",""หนองคาย!I101"")"),1)</f>
        <v>1</v>
      </c>
      <c r="J176" s="285">
        <f ca="1">IFERROR(__xludf.DUMMYFUNCTION("IMPORTRANGE(""https://docs.google.com/spreadsheets/d/1XL5vhW3sbDhbH9Cz0tuDiY8C3ctxq1tqvaCgkFb8cCA/edit?usp=sharing"",""หนองคาย!J101"")"),1)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IFERROR(__xludf.DUMMYFUNCTION("IMPORTRANGE(""https://docs.google.com/spreadsheets/d/1XL5vhW3sbDhbH9Cz0tuDiY8C3ctxq1tqvaCgkFb8cCA/edit?usp=sharing"",""หนองคาย!J113"")"),1)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IFERROR(__xludf.DUMMYFUNCTION("IMPORTRANGE(""https://docs.google.com/spreadsheets/d/1XL5vhW3sbDhbH9Cz0tuDiY8C3ctxq1tqvaCgkFb8cCA/edit?usp=sharing"",""หนองคาย!I114"")"),30000)</f>
        <v>30000</v>
      </c>
      <c r="J189" s="285">
        <f ca="1">IFERROR(__xludf.DUMMYFUNCTION("IMPORTRANGE(""https://docs.google.com/spreadsheets/d/1XL5vhW3sbDhbH9Cz0tuDiY8C3ctxq1tqvaCgkFb8cCA/edit?usp=sharing"",""หนองคาย!J114"")"),30000)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IFERROR(__xludf.DUMMYFUNCTION("IMPORTRANGE(""https://docs.google.com/spreadsheets/d/1XL5vhW3sbDhbH9Cz0tuDiY8C3ctxq1tqvaCgkFb8cCA/edit?usp=sharing"",""หนองคาย!J128"")"),0)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IFERROR(__xludf.DUMMYFUNCTION("IMPORTRANGE(""https://docs.google.com/spreadsheets/d/1XL5vhW3sbDhbH9Cz0tuDiY8C3ctxq1tqvaCgkFb8cCA/edit?usp=sharing"",""หนองคาย!I129"")"),0)</f>
        <v>0</v>
      </c>
      <c r="J204" s="285">
        <f ca="1">IFERROR(__xludf.DUMMYFUNCTION("IMPORTRANGE(""https://docs.google.com/spreadsheets/d/1XL5vhW3sbDhbH9Cz0tuDiY8C3ctxq1tqvaCgkFb8cCA/edit?usp=sharing"",""หนองคาย!J129"")"),0)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IFERROR(__xludf.DUMMYFUNCTION("IMPORTRANGE(""https://docs.google.com/spreadsheets/d/1Yj_ptqi66GCucihVvJfMjLAmec39IyEx_6qawtMGysU/edit?usp=sharing"",""สบก!BS53"")"),21125)</f>
        <v>21125</v>
      </c>
      <c r="N224" s="628">
        <f ca="1">IFERROR(__xludf.DUMMYFUNCTION("IMPORTRANGE(""https://docs.google.com/spreadsheets/d/1Yj_ptqi66GCucihVvJfMjLAmec39IyEx_6qawtMGysU/edit?usp=sharing"",""สบก!BT53"")"),21125)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IFERROR(__xludf.DUMMYFUNCTION("IMPORTRANGE(""https://docs.google.com/spreadsheets/d/1Yj_ptqi66GCucihVvJfMjLAmec39IyEx_6qawtMGysU/edit?usp=sharing"",""สบก!BQ53"")"),0)</f>
        <v>0</v>
      </c>
      <c r="M228" s="626"/>
      <c r="N228" s="623">
        <f ca="1">IFERROR(__xludf.DUMMYFUNCTION("IMPORTRANGE(""https://docs.google.com/spreadsheets/d/1Yj_ptqi66GCucihVvJfMjLAmec39IyEx_6qawtMGysU/edit?usp=sharing"",""สบก!BU53"")"),0)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IFERROR(__xludf.DUMMYFUNCTION("IMPORTRANGE(""https://docs.google.com/spreadsheets/d/1XL5vhW3sbDhbH9Cz0tuDiY8C3ctxq1tqvaCgkFb8cCA/edit?usp=sharing"",""หนองคาย!I169"")"),25)</f>
        <v>25</v>
      </c>
      <c r="J249" s="317">
        <f ca="1">IFERROR(__xludf.DUMMYFUNCTION("IMPORTRANGE(""https://docs.google.com/spreadsheets/d/1XL5vhW3sbDhbH9Cz0tuDiY8C3ctxq1tqvaCgkFb8cCA/edit?usp=sharing"",""หนองคาย!J169"")"),25)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81299</v>
      </c>
      <c r="O250" s="151">
        <f t="shared" ref="O250:O252" ca="1" si="78">IF(L250&gt;0,N250*100/L250,0)</f>
        <v>91.34719101123595</v>
      </c>
      <c r="P250" s="151">
        <f t="shared" ref="P250:P252" ca="1" si="79">IF(M250&gt;0,N250*100/M250,0)</f>
        <v>91.34719101123595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81299</v>
      </c>
      <c r="O252" s="156">
        <f t="shared" ca="1" si="78"/>
        <v>91.34719101123595</v>
      </c>
      <c r="P252" s="156">
        <f t="shared" ca="1" si="79"/>
        <v>91.34719101123595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IFERROR(__xludf.DUMMYFUNCTION("IMPORTRANGE(""https://docs.google.com/spreadsheets/d/1Yj_ptqi66GCucihVvJfMjLAmec39IyEx_6qawtMGysU/edit?usp=sharing"",""สบก!CB53"")"),89000)</f>
        <v>89000</v>
      </c>
      <c r="N254" s="628">
        <f ca="1">IFERROR(__xludf.DUMMYFUNCTION("IMPORTRANGE(""https://docs.google.com/spreadsheets/d/1Yj_ptqi66GCucihVvJfMjLAmec39IyEx_6qawtMGysU/edit?usp=sharing"",""สบก!CC53"")"),81299)</f>
        <v>81299</v>
      </c>
      <c r="O254" s="169">
        <f ca="1">IF(L254&gt;0,N254*100/L254,0)</f>
        <v>91.34719101123595</v>
      </c>
      <c r="P254" s="169">
        <f ca="1">IF(M254&gt;0,N254*100/M254,0)</f>
        <v>91.34719101123595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IFERROR(__xludf.DUMMYFUNCTION("IMPORTRANGE(""https://docs.google.com/spreadsheets/d/1Yj_ptqi66GCucihVvJfMjLAmec39IyEx_6qawtMGysU/edit?usp=sharing"",""สบก!BZ53"")"),0)</f>
        <v>0</v>
      </c>
      <c r="M258" s="626"/>
      <c r="N258" s="623">
        <f ca="1">IFERROR(__xludf.DUMMYFUNCTION("IMPORTRANGE(""https://docs.google.com/spreadsheets/d/1Yj_ptqi66GCucihVvJfMjLAmec39IyEx_6qawtMGysU/edit?usp=sharing"",""สบก!CD53"")"),0)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IFERROR(__xludf.DUMMYFUNCTION("IMPORTRANGE(""https://docs.google.com/spreadsheets/d/1XL5vhW3sbDhbH9Cz0tuDiY8C3ctxq1tqvaCgkFb8cCA/edit?usp=sharing"",""หนองคาย!J184"")"),0)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IFERROR(__xludf.DUMMYFUNCTION("IMPORTRANGE(""https://docs.google.com/spreadsheets/d/1XL5vhW3sbDhbH9Cz0tuDiY8C3ctxq1tqvaCgkFb8cCA/edit?usp=sharing"",""หนองคาย!I185"")"),0)</f>
        <v>0</v>
      </c>
      <c r="J270" s="317">
        <f ca="1">IFERROR(__xludf.DUMMYFUNCTION("IMPORTRANGE(""https://docs.google.com/spreadsheets/d/1XL5vhW3sbDhbH9Cz0tuDiY8C3ctxq1tqvaCgkFb8cCA/edit?usp=sharing"",""หนองคาย!J185"")"),0)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IFERROR(__xludf.DUMMYFUNCTION("IMPORTRANGE(""https://docs.google.com/spreadsheets/d/1Yj_ptqi66GCucihVvJfMjLAmec39IyEx_6qawtMGysU/edit?usp=sharing"",""สบก!CK53"")"),0)</f>
        <v>0</v>
      </c>
      <c r="N275" s="628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IFERROR(__xludf.DUMMYFUNCTION("IMPORTRANGE(""https://docs.google.com/spreadsheets/d/1Yj_ptqi66GCucihVvJfMjLAmec39IyEx_6qawtMGysU/edit?usp=sharing"",""สบก!CI53"")"),0)</f>
        <v>0</v>
      </c>
      <c r="M279" s="626"/>
      <c r="N279" s="623">
        <f ca="1">IFERROR(__xludf.DUMMYFUNCTION("IMPORTRANGE(""https://docs.google.com/spreadsheets/d/1Yj_ptqi66GCucihVvJfMjLAmec39IyEx_6qawtMGysU/edit?usp=sharing"",""สบก!CM53"")"),0)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IFERROR(__xludf.DUMMYFUNCTION("IMPORTRANGE(""https://docs.google.com/spreadsheets/d/1XL5vhW3sbDhbH9Cz0tuDiY8C3ctxq1tqvaCgkFb8cCA/edit?usp=sharing"",""หนองคาย!I199"")"),0)</f>
        <v>0</v>
      </c>
      <c r="J289" s="317">
        <f ca="1">IFERROR(__xludf.DUMMYFUNCTION("IMPORTRANGE(""https://docs.google.com/spreadsheets/d/1XL5vhW3sbDhbH9Cz0tuDiY8C3ctxq1tqvaCgkFb8cCA/edit?usp=sharing"",""หนองคาย!J199"")"),0)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IFERROR(__xludf.DUMMYFUNCTION("IMPORTRANGE(""https://docs.google.com/spreadsheets/d/1Yj_ptqi66GCucihVvJfMjLAmec39IyEx_6qawtMGysU/edit?usp=sharing"",""สบก!CT53"")"),0)</f>
        <v>0</v>
      </c>
      <c r="N294" s="628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IFERROR(__xludf.DUMMYFUNCTION("IMPORTRANGE(""https://docs.google.com/spreadsheets/d/1Yj_ptqi66GCucihVvJfMjLAmec39IyEx_6qawtMGysU/edit?usp=sharing"",""สบก!CR53"")"),0)</f>
        <v>0</v>
      </c>
      <c r="M298" s="626"/>
      <c r="N298" s="623">
        <f ca="1">IFERROR(__xludf.DUMMYFUNCTION("IMPORTRANGE(""https://docs.google.com/spreadsheets/d/1Yj_ptqi66GCucihVvJfMjLAmec39IyEx_6qawtMGysU/edit?usp=sharing"",""สบก!CV53"")"),0)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IFERROR(__xludf.DUMMYFUNCTION("IMPORTRANGE(""https://docs.google.com/spreadsheets/d/1XL5vhW3sbDhbH9Cz0tuDiY8C3ctxq1tqvaCgkFb8cCA/edit?usp=sharing"",""หนองคาย!I214"")"),0)</f>
        <v>0</v>
      </c>
      <c r="J309" s="334">
        <f ca="1">IFERROR(__xludf.DUMMYFUNCTION("IMPORTRANGE(""https://docs.google.com/spreadsheets/d/1XL5vhW3sbDhbH9Cz0tuDiY8C3ctxq1tqvaCgkFb8cCA/edit?usp=sharing"",""หนองคาย!J214"")"),0)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IFERROR(__xludf.DUMMYFUNCTION("IMPORTRANGE(""https://docs.google.com/spreadsheets/d/1Yj_ptqi66GCucihVvJfMjLAmec39IyEx_6qawtMGysU/edit?usp=sharing"",""สบก!DC53"")"),0)</f>
        <v>0</v>
      </c>
      <c r="N314" s="628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IFERROR(__xludf.DUMMYFUNCTION("IMPORTRANGE(""https://docs.google.com/spreadsheets/d/1Yj_ptqi66GCucihVvJfMjLAmec39IyEx_6qawtMGysU/edit?usp=sharing"",""สบก!DA53"")"),0)</f>
        <v>0</v>
      </c>
      <c r="M318" s="626"/>
      <c r="N318" s="623">
        <f ca="1">IFERROR(__xludf.DUMMYFUNCTION("IMPORTRANGE(""https://docs.google.com/spreadsheets/d/1Yj_ptqi66GCucihVvJfMjLAmec39IyEx_6qawtMGysU/edit?usp=sharing"",""สบก!DE53"")"),0)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IFERROR(__xludf.DUMMYFUNCTION("IMPORTRANGE(""https://docs.google.com/spreadsheets/d/1XL5vhW3sbDhbH9Cz0tuDiY8C3ctxq1tqvaCgkFb8cCA/edit?usp=sharing"",""หนองคาย!I228"")"),650)</f>
        <v>650</v>
      </c>
      <c r="J328" s="340">
        <f ca="1">IFERROR(__xludf.DUMMYFUNCTION("IMPORTRANGE(""https://docs.google.com/spreadsheets/d/1XL5vhW3sbDhbH9Cz0tuDiY8C3ctxq1tqvaCgkFb8cCA/edit?usp=sharing"",""หนองคาย!J228"")"),97)</f>
        <v>97</v>
      </c>
      <c r="K328" s="318">
        <f ca="1">IF(I328&gt;0,J328*100/I328,0)</f>
        <v>14.923076923076923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1197130</v>
      </c>
      <c r="M329" s="152">
        <f t="shared" ca="1" si="98"/>
        <v>1148530</v>
      </c>
      <c r="N329" s="152">
        <f t="shared" ca="1" si="98"/>
        <v>1060575.29</v>
      </c>
      <c r="O329" s="151">
        <f t="shared" ref="O329:O331" ca="1" si="99">IF(L329&gt;0,N329*100/L329,0)</f>
        <v>88.593159473073101</v>
      </c>
      <c r="P329" s="151">
        <f t="shared" ref="P329:P331" ca="1" si="100">IF(M329&gt;0,N329*100/M329,0)</f>
        <v>92.341975394634886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1197130</v>
      </c>
      <c r="M331" s="157">
        <f t="shared" ca="1" si="102"/>
        <v>1148530</v>
      </c>
      <c r="N331" s="157">
        <f t="shared" ca="1" si="102"/>
        <v>1060575.29</v>
      </c>
      <c r="O331" s="156">
        <f t="shared" ca="1" si="99"/>
        <v>88.593159473073101</v>
      </c>
      <c r="P331" s="156">
        <f t="shared" ca="1" si="100"/>
        <v>92.341975394634886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1011130</v>
      </c>
      <c r="M333" s="627">
        <f ca="1">IFERROR(__xludf.DUMMYFUNCTION("IMPORTRANGE(""https://docs.google.com/spreadsheets/d/1Yj_ptqi66GCucihVvJfMjLAmec39IyEx_6qawtMGysU/edit?usp=sharing"",""สบก!DL53"")"),962530)</f>
        <v>962530</v>
      </c>
      <c r="N333" s="628">
        <f ca="1">IFERROR(__xludf.DUMMYFUNCTION("IMPORTRANGE(""https://docs.google.com/spreadsheets/d/1Yj_ptqi66GCucihVvJfMjLAmec39IyEx_6qawtMGysU/edit?usp=sharing"",""สบก!DM53"")"),874575.29)</f>
        <v>874575.29</v>
      </c>
      <c r="O333" s="169">
        <f ca="1">IF(L333&gt;0,N333*100/L333,0)</f>
        <v>86.494841415050487</v>
      </c>
      <c r="P333" s="169">
        <f ca="1">IF(M333&gt;0,N333*100/M333,0)</f>
        <v>90.862133128318078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IFERROR(__xludf.DUMMYFUNCTION("IMPORTRANGE(""https://docs.google.com/spreadsheets/d/1Yj_ptqi66GCucihVvJfMjLAmec39IyEx_6qawtMGysU/edit?usp=sharing"",""สบก!DI53"")"),593530)</f>
        <v>593530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IFERROR(__xludf.DUMMYFUNCTION("IMPORTRANGE(""https://docs.google.com/spreadsheets/d/1Yj_ptqi66GCucihVvJfMjLAmec39IyEx_6qawtMGysU/edit?usp=sharing"",""สบก!DJ53"")"),186000)</f>
        <v>186000</v>
      </c>
      <c r="M337" s="626">
        <f ca="1">L337</f>
        <v>186000</v>
      </c>
      <c r="N337" s="623">
        <f ca="1">IFERROR(__xludf.DUMMYFUNCTION("IMPORTRANGE(""https://docs.google.com/spreadsheets/d/1Yj_ptqi66GCucihVvJfMjLAmec39IyEx_6qawtMGysU/edit?usp=sharing"",""สบก!DN53"")"),186000)</f>
        <v>186000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IFERROR(__xludf.DUMMYFUNCTION("IMPORTRANGE(""https://docs.google.com/spreadsheets/d/1XL5vhW3sbDhbH9Cz0tuDiY8C3ctxq1tqvaCgkFb8cCA/edit?usp=sharing"",""หนองคาย!J234"")"),234)</f>
        <v>234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IFERROR(__xludf.DUMMYFUNCTION("IMPORTRANGE(""https://docs.google.com/spreadsheets/d/1XL5vhW3sbDhbH9Cz0tuDiY8C3ctxq1tqvaCgkFb8cCA/edit?usp=sharing"",""หนองคาย!J235"")"),2199.38)</f>
        <v>2199.38</v>
      </c>
      <c r="K340" s="343">
        <f t="shared" ca="1" si="103"/>
        <v>65.147511848341239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IFERROR(__xludf.DUMMYFUNCTION("IMPORTRANGE(""https://docs.google.com/spreadsheets/d/1XL5vhW3sbDhbH9Cz0tuDiY8C3ctxq1tqvaCgkFb8cCA/edit?usp=sharing"",""หนองคาย!J236"")"),370)</f>
        <v>370</v>
      </c>
      <c r="K341" s="343">
        <f t="shared" ca="1" si="103"/>
        <v>56.92307692307692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IFERROR(__xludf.DUMMYFUNCTION("IMPORTRANGE(""https://docs.google.com/spreadsheets/d/1XL5vhW3sbDhbH9Cz0tuDiY8C3ctxq1tqvaCgkFb8cCA/edit?usp=sharing"",""หนองคาย!J237"")"),4261.74)</f>
        <v>4261.74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IFERROR(__xludf.DUMMYFUNCTION("IMPORTRANGE(""https://docs.google.com/spreadsheets/d/1XL5vhW3sbDhbH9Cz0tuDiY8C3ctxq1tqvaCgkFb8cCA/edit?usp=sharing"",""หนองคาย!J240"")"),97)</f>
        <v>97</v>
      </c>
      <c r="K345" s="343">
        <f t="shared" ca="1" si="103"/>
        <v>14.923076923076923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IFERROR(__xludf.DUMMYFUNCTION("IMPORTRANGE(""https://docs.google.com/spreadsheets/d/1XL5vhW3sbDhbH9Cz0tuDiY8C3ctxq1tqvaCgkFb8cCA/edit?usp=sharing"",""หนองคาย!J241"")"),1302.88)</f>
        <v>1302.8800000000001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IFERROR(__xludf.DUMMYFUNCTION("IMPORTRANGE(""https://docs.google.com/spreadsheets/d/1XL5vhW3sbDhbH9Cz0tuDiY8C3ctxq1tqvaCgkFb8cCA/edit?usp=sharing"",""หนองคาย!L242"")"),2458856)</f>
        <v>2458856</v>
      </c>
      <c r="M347" s="358"/>
      <c r="N347" s="358">
        <f ca="1">IFERROR(__xludf.DUMMYFUNCTION("IMPORTRANGE(""https://docs.google.com/spreadsheets/d/1XL5vhW3sbDhbH9Cz0tuDiY8C3ctxq1tqvaCgkFb8cCA/edit?usp=sharing"",""หนองคาย!M242"")"),1900217.19)</f>
        <v>1900217.19</v>
      </c>
      <c r="O347" s="358">
        <f ca="1">+IF(L347&gt;0,N347*100/L347,0)</f>
        <v>77.280539812010133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IFERROR(__xludf.DUMMYFUNCTION("IMPORTRANGE(""https://docs.google.com/spreadsheets/d/1XL5vhW3sbDhbH9Cz0tuDiY8C3ctxq1tqvaCgkFb8cCA/edit?usp=sharing"",""หนองคาย!J244"")"),400)</f>
        <v>400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IFERROR(__xludf.DUMMYFUNCTION("IMPORTRANGE(""https://docs.google.com/spreadsheets/d/1XL5vhW3sbDhbH9Cz0tuDiY8C3ctxq1tqvaCgkFb8cCA/edit?usp=sharing"",""หนองคาย!M244"")"),504916.399999999)</f>
        <v>504916.39999999898</v>
      </c>
      <c r="O349" s="373">
        <f ca="1">+IF(L349&gt;0,N349*100/L349,0)</f>
        <v>79.49186057495497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IFERROR(__xludf.DUMMYFUNCTION("IMPORTRANGE(""https://docs.google.com/spreadsheets/d/1XL5vhW3sbDhbH9Cz0tuDiY8C3ctxq1tqvaCgkFb8cCA/edit?usp=sharing"",""หนองคาย!L247"")"),635180)</f>
        <v>635180</v>
      </c>
      <c r="M352" s="165"/>
      <c r="N352" s="164">
        <f ca="1">IFERROR(__xludf.DUMMYFUNCTION("IMPORTRANGE(""https://docs.google.com/spreadsheets/d/1XL5vhW3sbDhbH9Cz0tuDiY8C3ctxq1tqvaCgkFb8cCA/edit?usp=sharing"",""หนองคาย!M247"")"),504916.399999999)</f>
        <v>504916.39999999898</v>
      </c>
      <c r="O352" s="165">
        <f t="shared" ca="1" si="105"/>
        <v>79.49186057495497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IFERROR(__xludf.DUMMYFUNCTION("IMPORTRANGE(""https://docs.google.com/spreadsheets/d/1XL5vhW3sbDhbH9Cz0tuDiY8C3ctxq1tqvaCgkFb8cCA/edit?usp=sharing"",""หนองคาย!L249"")"),635180)</f>
        <v>635180</v>
      </c>
      <c r="M354" s="169"/>
      <c r="N354" s="168">
        <f ca="1">IFERROR(__xludf.DUMMYFUNCTION("IMPORTRANGE(""https://docs.google.com/spreadsheets/d/1XL5vhW3sbDhbH9Cz0tuDiY8C3ctxq1tqvaCgkFb8cCA/edit?usp=sharing"",""หนองคาย!M249"")"),504916.399999999)</f>
        <v>504916.39999999898</v>
      </c>
      <c r="O354" s="169">
        <f t="shared" ca="1" si="105"/>
        <v>79.49186057495497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IFERROR(__xludf.DUMMYFUNCTION("IMPORTRANGE(""https://docs.google.com/spreadsheets/d/1XL5vhW3sbDhbH9Cz0tuDiY8C3ctxq1tqvaCgkFb8cCA/edit?usp=sharing"",""หนองคาย!M250"")"),106980)</f>
        <v>106980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IFERROR(__xludf.DUMMYFUNCTION("IMPORTRANGE(""https://docs.google.com/spreadsheets/d/1XL5vhW3sbDhbH9Cz0tuDiY8C3ctxq1tqvaCgkFb8cCA/edit?usp=sharing"",""หนองคาย!M251"")"),255659)</f>
        <v>255659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IFERROR(__xludf.DUMMYFUNCTION("IMPORTRANGE(""https://docs.google.com/spreadsheets/d/1XL5vhW3sbDhbH9Cz0tuDiY8C3ctxq1tqvaCgkFb8cCA/edit?usp=sharing"",""หนองคาย!M252"")"),109746.29)</f>
        <v>109746.29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IFERROR(__xludf.DUMMYFUNCTION("IMPORTRANGE(""https://docs.google.com/spreadsheets/d/1XL5vhW3sbDhbH9Cz0tuDiY8C3ctxq1tqvaCgkFb8cCA/edit?usp=sharing"",""หนองคาย!M253"")"),32531.11)</f>
        <v>32531.11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IFERROR(__xludf.DUMMYFUNCTION("IMPORTRANGE(""https://docs.google.com/spreadsheets/d/1XL5vhW3sbDhbH9Cz0tuDiY8C3ctxq1tqvaCgkFb8cCA/edit?usp=sharing"",""หนองคาย!J270"")"),400)</f>
        <v>400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IFERROR(__xludf.DUMMYFUNCTION("IMPORTRANGE(""https://docs.google.com/spreadsheets/d/1XL5vhW3sbDhbH9Cz0tuDiY8C3ctxq1tqvaCgkFb8cCA/edit?usp=sharing"",""หนองคาย!J272"")"),300)</f>
        <v>300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IFERROR(__xludf.DUMMYFUNCTION("IMPORTRANGE(""https://docs.google.com/spreadsheets/d/1XL5vhW3sbDhbH9Cz0tuDiY8C3ctxq1tqvaCgkFb8cCA/edit?usp=sharing"",""หนองคาย!M275"")"),443301)</f>
        <v>443301</v>
      </c>
      <c r="O380" s="373">
        <f ca="1">+IF(L380&gt;0,N380*100/L380,0)</f>
        <v>96.340461598643884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IFERROR(__xludf.DUMMYFUNCTION("IMPORTRANGE(""https://docs.google.com/spreadsheets/d/1XL5vhW3sbDhbH9Cz0tuDiY8C3ctxq1tqvaCgkFb8cCA/edit?usp=sharing"",""หนองคาย!M278"")"),443301)</f>
        <v>443301</v>
      </c>
      <c r="O383" s="165">
        <f t="shared" ca="1" si="109"/>
        <v>96.340461598643884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IFERROR(__xludf.DUMMYFUNCTION("IMPORTRANGE(""https://docs.google.com/spreadsheets/d/1XL5vhW3sbDhbH9Cz0tuDiY8C3ctxq1tqvaCgkFb8cCA/edit?usp=sharing"",""หนองคาย!M280"")"),443301)</f>
        <v>443301</v>
      </c>
      <c r="O385" s="169">
        <f t="shared" ca="1" si="109"/>
        <v>96.340461598643884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IFERROR(__xludf.DUMMYFUNCTION("IMPORTRANGE(""https://docs.google.com/spreadsheets/d/1XL5vhW3sbDhbH9Cz0tuDiY8C3ctxq1tqvaCgkFb8cCA/edit?usp=sharing"",""หนองคาย!M284"")"),20645)</f>
        <v>20645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IFERROR(__xludf.DUMMYFUNCTION("IMPORTRANGE(""https://docs.google.com/spreadsheets/d/1XL5vhW3sbDhbH9Cz0tuDiY8C3ctxq1tqvaCgkFb8cCA/edit?usp=sharing"",""หนองคาย!M296"")"),183817.95)</f>
        <v>183817.95</v>
      </c>
      <c r="O401" s="373">
        <f ca="1">+IF(L401&gt;0,N401*100/L401,0)</f>
        <v>95.099565419835486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IFERROR(__xludf.DUMMYFUNCTION("IMPORTRANGE(""https://docs.google.com/spreadsheets/d/1XL5vhW3sbDhbH9Cz0tuDiY8C3ctxq1tqvaCgkFb8cCA/edit?usp=sharing"",""หนองคาย!M299"")"),183817.95)</f>
        <v>183817.95</v>
      </c>
      <c r="O404" s="169">
        <f t="shared" ca="1" si="112"/>
        <v>95.099565419835486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IFERROR(__xludf.DUMMYFUNCTION("IMPORTRANGE(""https://docs.google.com/spreadsheets/d/1XL5vhW3sbDhbH9Cz0tuDiY8C3ctxq1tqvaCgkFb8cCA/edit?usp=sharing"",""หนองคาย!M301"")"),183817.95)</f>
        <v>183817.95</v>
      </c>
      <c r="O406" s="169">
        <f t="shared" ca="1" si="112"/>
        <v>95.099565419835486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IFERROR(__xludf.DUMMYFUNCTION("IMPORTRANGE(""https://docs.google.com/spreadsheets/d/1XL5vhW3sbDhbH9Cz0tuDiY8C3ctxq1tqvaCgkFb8cCA/edit?usp=sharing"",""หนองคาย!M305"")"),23705.01)</f>
        <v>23705.01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IFERROR(__xludf.DUMMYFUNCTION("IMPORTRANGE(""https://docs.google.com/spreadsheets/d/1XL5vhW3sbDhbH9Cz0tuDiY8C3ctxq1tqvaCgkFb8cCA/edit?usp=sharing"",""หนองคาย!M330"")"),50775)</f>
        <v>50775</v>
      </c>
      <c r="O435" s="412">
        <f t="shared" ref="O435:O439" ca="1" si="114">+IF(L435&gt;0,N435*100/L435,0)</f>
        <v>57.698863636363633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IFERROR(__xludf.DUMMYFUNCTION("IMPORTRANGE(""https://docs.google.com/spreadsheets/d/1XL5vhW3sbDhbH9Cz0tuDiY8C3ctxq1tqvaCgkFb8cCA/edit?usp=sharing"",""หนองคาย!M332"")"),50775)</f>
        <v>50775</v>
      </c>
      <c r="O437" s="169">
        <f t="shared" ca="1" si="114"/>
        <v>57.698863636363633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IFERROR(__xludf.DUMMYFUNCTION("IMPORTRANGE(""https://docs.google.com/spreadsheets/d/1XL5vhW3sbDhbH9Cz0tuDiY8C3ctxq1tqvaCgkFb8cCA/edit?usp=sharing"",""หนองคาย!M334"")"),50775)</f>
        <v>50775</v>
      </c>
      <c r="O439" s="169">
        <f t="shared" ca="1" si="114"/>
        <v>57.698863636363633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IFERROR(__xludf.DUMMYFUNCTION("IMPORTRANGE(""https://docs.google.com/spreadsheets/d/1XL5vhW3sbDhbH9Cz0tuDiY8C3ctxq1tqvaCgkFb8cCA/edit?usp=sharing"",""หนองคาย!M338"")"),18555)</f>
        <v>18555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IFERROR(__xludf.DUMMYFUNCTION("IMPORTRANGE(""https://docs.google.com/spreadsheets/d/1XL5vhW3sbDhbH9Cz0tuDiY8C3ctxq1tqvaCgkFb8cCA/edit?usp=sharing"",""หนองคาย!J350"")"),52883.66)</f>
        <v>52883.66</v>
      </c>
      <c r="K455" s="372">
        <f ca="1">IF(I455&gt;0,J455*100/I455,0)</f>
        <v>100.00124803812189</v>
      </c>
      <c r="L455" s="373">
        <f ca="1">IFERROR(__xludf.DUMMYFUNCTION("IMPORTRANGE(""https://docs.google.com/spreadsheets/d/1XL5vhW3sbDhbH9Cz0tuDiY8C3ctxq1tqvaCgkFb8cCA/edit?usp=sharing"",""หนองคาย!L350"")"),777860)</f>
        <v>777860</v>
      </c>
      <c r="M455" s="373"/>
      <c r="N455" s="373">
        <f ca="1">IFERROR(__xludf.DUMMYFUNCTION("IMPORTRANGE(""https://docs.google.com/spreadsheets/d/1XL5vhW3sbDhbH9Cz0tuDiY8C3ctxq1tqvaCgkFb8cCA/edit?usp=sharing"",""หนองคาย!M350"")"),509570.52)</f>
        <v>509570.52</v>
      </c>
      <c r="O455" s="373">
        <f t="shared" ref="O455:O459" ca="1" si="116">+IF(L455&gt;0,N455*100/L455,0)</f>
        <v>65.509284447072744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IFERROR(__xludf.DUMMYFUNCTION("IMPORTRANGE(""https://docs.google.com/spreadsheets/d/1XL5vhW3sbDhbH9Cz0tuDiY8C3ctxq1tqvaCgkFb8cCA/edit?usp=sharing"",""หนองคาย!L352"")"),777860)</f>
        <v>777860</v>
      </c>
      <c r="M457" s="165"/>
      <c r="N457" s="169">
        <f ca="1">IFERROR(__xludf.DUMMYFUNCTION("IMPORTRANGE(""https://docs.google.com/spreadsheets/d/1XL5vhW3sbDhbH9Cz0tuDiY8C3ctxq1tqvaCgkFb8cCA/edit?usp=sharing"",""หนองคาย!M352"")"),509570.52)</f>
        <v>509570.52</v>
      </c>
      <c r="O457" s="169">
        <f t="shared" ca="1" si="116"/>
        <v>65.509284447072744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IFERROR(__xludf.DUMMYFUNCTION("IMPORTRANGE(""https://docs.google.com/spreadsheets/d/1XL5vhW3sbDhbH9Cz0tuDiY8C3ctxq1tqvaCgkFb8cCA/edit?usp=sharing"",""หนองคาย!L354"")"),777860)</f>
        <v>777860</v>
      </c>
      <c r="M459" s="169"/>
      <c r="N459" s="169">
        <f ca="1">IFERROR(__xludf.DUMMYFUNCTION("IMPORTRANGE(""https://docs.google.com/spreadsheets/d/1XL5vhW3sbDhbH9Cz0tuDiY8C3ctxq1tqvaCgkFb8cCA/edit?usp=sharing"",""หนองคาย!M354"")"),509570.52)</f>
        <v>509570.52</v>
      </c>
      <c r="O459" s="169">
        <f t="shared" ca="1" si="116"/>
        <v>65.509284447072744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IFERROR(__xludf.DUMMYFUNCTION("IMPORTRANGE(""https://docs.google.com/spreadsheets/d/1XL5vhW3sbDhbH9Cz0tuDiY8C3ctxq1tqvaCgkFb8cCA/edit?usp=sharing"",""หนองคาย!M357"")"),89478.51)</f>
        <v>89478.51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IFERROR(__xludf.DUMMYFUNCTION("IMPORTRANGE(""https://docs.google.com/spreadsheets/d/1XL5vhW3sbDhbH9Cz0tuDiY8C3ctxq1tqvaCgkFb8cCA/edit?usp=sharing"",""หนองคาย!M358"")"),420092.01)</f>
        <v>420092.01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IFERROR(__xludf.DUMMYFUNCTION("IMPORTRANGE(""https://docs.google.com/spreadsheets/d/1XL5vhW3sbDhbH9Cz0tuDiY8C3ctxq1tqvaCgkFb8cCA/edit?usp=sharing"",""หนองคาย!J359"")"),52883.66)</f>
        <v>52883.66</v>
      </c>
      <c r="K464" s="269">
        <f t="shared" ref="K464:K515" ca="1" si="117">IF(I464&gt;0,J464*100/I464,0)</f>
        <v>100.00124803812189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IFERROR(__xludf.DUMMYFUNCTION("IMPORTRANGE(""https://docs.google.com/spreadsheets/d/1XL5vhW3sbDhbH9Cz0tuDiY8C3ctxq1tqvaCgkFb8cCA/edit?usp=sharing"",""หนองคาย!J376"")"),52883.66)</f>
        <v>52883.66</v>
      </c>
      <c r="K481" s="202">
        <f t="shared" ca="1" si="117"/>
        <v>100.00124803812189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IFERROR(__xludf.DUMMYFUNCTION("IMPORTRANGE(""https://docs.google.com/spreadsheets/d/1XL5vhW3sbDhbH9Cz0tuDiY8C3ctxq1tqvaCgkFb8cCA/edit?usp=sharing"",""หนองคาย!J378"")"),37655.71)</f>
        <v>37655.71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IFERROR(__xludf.DUMMYFUNCTION("IMPORTRANGE(""https://docs.google.com/spreadsheets/d/1XL5vhW3sbDhbH9Cz0tuDiY8C3ctxq1tqvaCgkFb8cCA/edit?usp=sharing"",""หนองคาย!J379"")"),5163)</f>
        <v>5163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IFERROR(__xludf.DUMMYFUNCTION("IMPORTRANGE(""https://docs.google.com/spreadsheets/d/1XL5vhW3sbDhbH9Cz0tuDiY8C3ctxq1tqvaCgkFb8cCA/edit?usp=sharing"",""หนองคาย!J380"")"),13158.87)</f>
        <v>13158.87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IFERROR(__xludf.DUMMYFUNCTION("IMPORTRANGE(""https://docs.google.com/spreadsheets/d/1XL5vhW3sbDhbH9Cz0tuDiY8C3ctxq1tqvaCgkFb8cCA/edit?usp=sharing"",""หนองคาย!J381"")"),1193)</f>
        <v>1193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IFERROR(__xludf.DUMMYFUNCTION("IMPORTRANGE(""https://docs.google.com/spreadsheets/d/1XL5vhW3sbDhbH9Cz0tuDiY8C3ctxq1tqvaCgkFb8cCA/edit?usp=sharing"",""หนองคาย!J382"")"),2069.08)</f>
        <v>2069.08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IFERROR(__xludf.DUMMYFUNCTION("IMPORTRANGE(""https://docs.google.com/spreadsheets/d/1XL5vhW3sbDhbH9Cz0tuDiY8C3ctxq1tqvaCgkFb8cCA/edit?usp=sharing"",""หนองคาย!J383"")"),186)</f>
        <v>186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IFERROR(__xludf.DUMMYFUNCTION("IMPORTRANGE(""https://docs.google.com/spreadsheets/d/1XL5vhW3sbDhbH9Cz0tuDiY8C3ctxq1tqvaCgkFb8cCA/edit?usp=sharing"",""หนองคาย!J384"")"),1862.14)</f>
        <v>1862.14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IFERROR(__xludf.DUMMYFUNCTION("IMPORTRANGE(""https://docs.google.com/spreadsheets/d/1XL5vhW3sbDhbH9Cz0tuDiY8C3ctxq1tqvaCgkFb8cCA/edit?usp=sharing"",""หนองคาย!J385"")"),169)</f>
        <v>169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IFERROR(__xludf.DUMMYFUNCTION("IMPORTRANGE(""https://docs.google.com/spreadsheets/d/1XL5vhW3sbDhbH9Cz0tuDiY8C3ctxq1tqvaCgkFb8cCA/edit?usp=sharing"",""หนองคาย!J386"")"),206.94)</f>
        <v>206.94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IFERROR(__xludf.DUMMYFUNCTION("IMPORTRANGE(""https://docs.google.com/spreadsheets/d/1XL5vhW3sbDhbH9Cz0tuDiY8C3ctxq1tqvaCgkFb8cCA/edit?usp=sharing"",""หนองคาย!J387"")"),17)</f>
        <v>17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IFERROR(__xludf.DUMMYFUNCTION("IMPORTRANGE(""https://docs.google.com/spreadsheets/d/1XL5vhW3sbDhbH9Cz0tuDiY8C3ctxq1tqvaCgkFb8cCA/edit?usp=sharing"",""หนองคาย!J392"")"),1552)</f>
        <v>1552</v>
      </c>
      <c r="K497" s="444">
        <f t="shared" ca="1" si="117"/>
        <v>14.504672897196262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IFERROR(__xludf.DUMMYFUNCTION("IMPORTRANGE(""https://docs.google.com/spreadsheets/d/1XL5vhW3sbDhbH9Cz0tuDiY8C3ctxq1tqvaCgkFb8cCA/edit?usp=sharing"",""หนองคาย!J393"")"),1552)</f>
        <v>1552</v>
      </c>
      <c r="K498" s="163">
        <f t="shared" ca="1" si="117"/>
        <v>14.504672897196262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IFERROR(__xludf.DUMMYFUNCTION("IMPORTRANGE(""https://docs.google.com/spreadsheets/d/1XL5vhW3sbDhbH9Cz0tuDiY8C3ctxq1tqvaCgkFb8cCA/edit?usp=sharing"",""หนองคาย!J394"")"),123)</f>
        <v>123</v>
      </c>
      <c r="K499" s="202">
        <f t="shared" ca="1" si="117"/>
        <v>13.789237668161435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IFERROR(__xludf.DUMMYFUNCTION("IMPORTRANGE(""https://docs.google.com/spreadsheets/d/1XL5vhW3sbDhbH9Cz0tuDiY8C3ctxq1tqvaCgkFb8cCA/edit?usp=sharing"",""หนองคาย!J395"")"),1092)</f>
        <v>1092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IFERROR(__xludf.DUMMYFUNCTION("IMPORTRANGE(""https://docs.google.com/spreadsheets/d/1XL5vhW3sbDhbH9Cz0tuDiY8C3ctxq1tqvaCgkFb8cCA/edit?usp=sharing"",""หนองคาย!J396"")"),88)</f>
        <v>88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IFERROR(__xludf.DUMMYFUNCTION("IMPORTRANGE(""https://docs.google.com/spreadsheets/d/1XL5vhW3sbDhbH9Cz0tuDiY8C3ctxq1tqvaCgkFb8cCA/edit?usp=sharing"",""หนองคาย!J397"")"),462)</f>
        <v>462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IFERROR(__xludf.DUMMYFUNCTION("IMPORTRANGE(""https://docs.google.com/spreadsheets/d/1XL5vhW3sbDhbH9Cz0tuDiY8C3ctxq1tqvaCgkFb8cCA/edit?usp=sharing"",""หนองคาย!J398"")"),36)</f>
        <v>36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IFERROR(__xludf.DUMMYFUNCTION("IMPORTRANGE(""https://docs.google.com/spreadsheets/d/1XL5vhW3sbDhbH9Cz0tuDiY8C3ctxq1tqvaCgkFb8cCA/edit?usp=sharing"",""หนองคาย!J399"")"),315)</f>
        <v>315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IFERROR(__xludf.DUMMYFUNCTION("IMPORTRANGE(""https://docs.google.com/spreadsheets/d/1XL5vhW3sbDhbH9Cz0tuDiY8C3ctxq1tqvaCgkFb8cCA/edit?usp=sharing"",""หนองคาย!J400"")"),26)</f>
        <v>26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IFERROR(__xludf.DUMMYFUNCTION("IMPORTRANGE(""https://docs.google.com/spreadsheets/d/1XL5vhW3sbDhbH9Cz0tuDiY8C3ctxq1tqvaCgkFb8cCA/edit?usp=sharing"",""หนองคาย!J401"")"),315)</f>
        <v>315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IFERROR(__xludf.DUMMYFUNCTION("IMPORTRANGE(""https://docs.google.com/spreadsheets/d/1XL5vhW3sbDhbH9Cz0tuDiY8C3ctxq1tqvaCgkFb8cCA/edit?usp=sharing"",""หนองคาย!J402"")"),26)</f>
        <v>26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IFERROR(__xludf.DUMMYFUNCTION("IMPORTRANGE(""https://docs.google.com/spreadsheets/d/1XL5vhW3sbDhbH9Cz0tuDiY8C3ctxq1tqvaCgkFb8cCA/edit?usp=sharing"",""หนองคาย!J403"")"),460)</f>
        <v>460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IFERROR(__xludf.DUMMYFUNCTION("IMPORTRANGE(""https://docs.google.com/spreadsheets/d/1XL5vhW3sbDhbH9Cz0tuDiY8C3ctxq1tqvaCgkFb8cCA/edit?usp=sharing"",""หนองคาย!J404"")"),35)</f>
        <v>35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IFERROR(__xludf.DUMMYFUNCTION("IMPORTRANGE(""https://docs.google.com/spreadsheets/d/1XL5vhW3sbDhbH9Cz0tuDiY8C3ctxq1tqvaCgkFb8cCA/edit?usp=sharing"",""หนองคาย!J405"")"),98)</f>
        <v>98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IFERROR(__xludf.DUMMYFUNCTION("IMPORTRANGE(""https://docs.google.com/spreadsheets/d/1XL5vhW3sbDhbH9Cz0tuDiY8C3ctxq1tqvaCgkFb8cCA/edit?usp=sharing"",""หนองคาย!J407"")"),362)</f>
        <v>362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IFERROR(__xludf.DUMMYFUNCTION("IMPORTRANGE(""https://docs.google.com/spreadsheets/d/1XL5vhW3sbDhbH9Cz0tuDiY8C3ctxq1tqvaCgkFb8cCA/edit?usp=sharing"",""หนองคาย!J408"")"),27)</f>
        <v>27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IFERROR(__xludf.DUMMYFUNCTION("IMPORTRANGE(""https://docs.google.com/spreadsheets/d/1XL5vhW3sbDhbH9Cz0tuDiY8C3ctxq1tqvaCgkFb8cCA/edit?usp=sharing"",""หนองคาย!I412"")"),0)</f>
        <v>0</v>
      </c>
      <c r="J517" s="285">
        <f ca="1">IFERROR(__xludf.DUMMYFUNCTION("IMPORTRANGE(""https://docs.google.com/spreadsheets/d/1XL5vhW3sbDhbH9Cz0tuDiY8C3ctxq1tqvaCgkFb8cCA/edit?usp=sharing"",""หนองคาย!J412"")"),0)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IFERROR(__xludf.DUMMYFUNCTION("IMPORTRANGE(""https://docs.google.com/spreadsheets/d/1XL5vhW3sbDhbH9Cz0tuDiY8C3ctxq1tqvaCgkFb8cCA/edit?usp=sharing"",""หนองคาย!I413"")"),0)</f>
        <v>0</v>
      </c>
      <c r="J518" s="285">
        <f ca="1">IFERROR(__xludf.DUMMYFUNCTION("IMPORTRANGE(""https://docs.google.com/spreadsheets/d/1XL5vhW3sbDhbH9Cz0tuDiY8C3ctxq1tqvaCgkFb8cCA/edit?usp=sharing"",""หนองคาย!J413"")"),0)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IFERROR(__xludf.DUMMYFUNCTION("IMPORTRANGE(""https://docs.google.com/spreadsheets/d/1XL5vhW3sbDhbH9Cz0tuDiY8C3ctxq1tqvaCgkFb8cCA/edit?usp=sharing"",""หนองคาย!J418"")"),102)</f>
        <v>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IFERROR(__xludf.DUMMYFUNCTION("IMPORTRANGE(""https://docs.google.com/spreadsheets/d/1XL5vhW3sbDhbH9Cz0tuDiY8C3ctxq1tqvaCgkFb8cCA/edit?usp=sharing"",""หนองคาย!I420"")"),102)</f>
        <v>102</v>
      </c>
      <c r="J525" s="285">
        <f ca="1">IFERROR(__xludf.DUMMYFUNCTION("IMPORTRANGE(""https://docs.google.com/spreadsheets/d/1XL5vhW3sbDhbH9Cz0tuDiY8C3ctxq1tqvaCgkFb8cCA/edit?usp=sharing"",""หนองคาย!J420"")"),0)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IFERROR(__xludf.DUMMYFUNCTION("IMPORTRANGE(""https://docs.google.com/spreadsheets/d/1XL5vhW3sbDhbH9Cz0tuDiY8C3ctxq1tqvaCgkFb8cCA/edit?usp=sharing"",""หนองคาย!I421"")"),16)</f>
        <v>16</v>
      </c>
      <c r="J526" s="285">
        <f ca="1">IFERROR(__xludf.DUMMYFUNCTION("IMPORTRANGE(""https://docs.google.com/spreadsheets/d/1XL5vhW3sbDhbH9Cz0tuDiY8C3ctxq1tqvaCgkFb8cCA/edit?usp=sharing"",""หนองคาย!J421"")"),0)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IFERROR(__xludf.DUMMYFUNCTION("IMPORTRANGE(""https://docs.google.com/spreadsheets/d/1XL5vhW3sbDhbH9Cz0tuDiY8C3ctxq1tqvaCgkFb8cCA/edit?usp=sharing"",""หนองคาย!J459"")"),5704)</f>
        <v>5704</v>
      </c>
      <c r="K564" s="372">
        <f ca="1">IF(I564&gt;0,J564*100/I564,0)</f>
        <v>259.27272727272725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IFERROR(__xludf.DUMMYFUNCTION("IMPORTRANGE(""https://docs.google.com/spreadsheets/d/1XL5vhW3sbDhbH9Cz0tuDiY8C3ctxq1tqvaCgkFb8cCA/edit?usp=sharing"",""หนองคาย!M459"")"),136870.32)</f>
        <v>136870.32</v>
      </c>
      <c r="O564" s="373">
        <f t="shared" ref="O564:O568" ca="1" si="122">+IF(L564&gt;0,N564*100/L564,0)</f>
        <v>95.686744966442959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IFERROR(__xludf.DUMMYFUNCTION("IMPORTRANGE(""https://docs.google.com/spreadsheets/d/1XL5vhW3sbDhbH9Cz0tuDiY8C3ctxq1tqvaCgkFb8cCA/edit?usp=sharing"",""หนองคาย!M461"")"),136870.32)</f>
        <v>136870.32</v>
      </c>
      <c r="O566" s="169">
        <f t="shared" ca="1" si="122"/>
        <v>95.686744966442959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IFERROR(__xludf.DUMMYFUNCTION("IMPORTRANGE(""https://docs.google.com/spreadsheets/d/1XL5vhW3sbDhbH9Cz0tuDiY8C3ctxq1tqvaCgkFb8cCA/edit?usp=sharing"",""หนองคาย!M463"")"),136870.32)</f>
        <v>136870.32</v>
      </c>
      <c r="O568" s="169">
        <f t="shared" ca="1" si="122"/>
        <v>95.686744966442959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IFERROR(__xludf.DUMMYFUNCTION("IMPORTRANGE(""https://docs.google.com/spreadsheets/d/1XL5vhW3sbDhbH9Cz0tuDiY8C3ctxq1tqvaCgkFb8cCA/edit?usp=sharing"",""หนองคาย!M466"")"),93025.33)</f>
        <v>93025.33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IFERROR(__xludf.DUMMYFUNCTION("IMPORTRANGE(""https://docs.google.com/spreadsheets/d/1XL5vhW3sbDhbH9Cz0tuDiY8C3ctxq1tqvaCgkFb8cCA/edit?usp=sharing"",""หนองคาย!M467"")"),43844.99)</f>
        <v>43844.99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IFERROR(__xludf.DUMMYFUNCTION("IMPORTRANGE(""https://docs.google.com/spreadsheets/d/1XL5vhW3sbDhbH9Cz0tuDiY8C3ctxq1tqvaCgkFb8cCA/edit?usp=sharing"",""หนองคาย!J468"")"),5704)</f>
        <v>5704</v>
      </c>
      <c r="K573" s="202">
        <f ca="1">IF(I573&gt;0,J573*100/I573,0)</f>
        <v>259.27272727272725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IFERROR(__xludf.DUMMYFUNCTION("IMPORTRANGE(""https://docs.google.com/spreadsheets/d/1XL5vhW3sbDhbH9Cz0tuDiY8C3ctxq1tqvaCgkFb8cCA/edit?usp=sharing"",""หนองคาย!J472"")"),5693)</f>
        <v>5693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IFERROR(__xludf.DUMMYFUNCTION("IMPORTRANGE(""https://docs.google.com/spreadsheets/d/1XL5vhW3sbDhbH9Cz0tuDiY8C3ctxq1tqvaCgkFb8cCA/edit?usp=sharing"",""หนองคาย!M475"")"),37186)</f>
        <v>37186</v>
      </c>
      <c r="O580" s="373">
        <f t="shared" ref="O580:O584" ca="1" si="124">+IF(L580&gt;0,N580*100/L580,0)</f>
        <v>32.138350647330306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IFERROR(__xludf.DUMMYFUNCTION("IMPORTRANGE(""https://docs.google.com/spreadsheets/d/1XL5vhW3sbDhbH9Cz0tuDiY8C3ctxq1tqvaCgkFb8cCA/edit?usp=sharing"",""หนองคาย!M477"")"),37186)</f>
        <v>37186</v>
      </c>
      <c r="O582" s="169">
        <f t="shared" ca="1" si="124"/>
        <v>32.138350647330306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IFERROR(__xludf.DUMMYFUNCTION("IMPORTRANGE(""https://docs.google.com/spreadsheets/d/1XL5vhW3sbDhbH9Cz0tuDiY8C3ctxq1tqvaCgkFb8cCA/edit?usp=sharing"",""หนองคาย!M479"")"),37186)</f>
        <v>37186</v>
      </c>
      <c r="O584" s="169">
        <f t="shared" ca="1" si="124"/>
        <v>32.138350647330306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IFERROR(__xludf.DUMMYFUNCTION("IMPORTRANGE(""https://docs.google.com/spreadsheets/d/1XL5vhW3sbDhbH9Cz0tuDiY8C3ctxq1tqvaCgkFb8cCA/edit?usp=sharing"",""หนองคาย!M483"")"),37186)</f>
        <v>37186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IFERROR(__xludf.DUMMYFUNCTION("IMPORTRANGE(""https://docs.google.com/spreadsheets/d/1XL5vhW3sbDhbH9Cz0tuDiY8C3ctxq1tqvaCgkFb8cCA/edit?usp=sharing"",""หนองคาย!J484"")"),13)</f>
        <v>13</v>
      </c>
      <c r="K589" s="163">
        <f t="shared" ref="K589:K596" ca="1" si="125">IF(I589&gt;0,J589*100/I589,0)</f>
        <v>216.66666666666666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IFERROR(__xludf.DUMMYFUNCTION("IMPORTRANGE(""https://docs.google.com/spreadsheets/d/1XL5vhW3sbDhbH9Cz0tuDiY8C3ctxq1tqvaCgkFb8cCA/edit?usp=sharing"",""หนองคาย!J485"")"),10.53)</f>
        <v>10.53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8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IFERROR(__xludf.DUMMYFUNCTION("IMPORTRANGE(""https://docs.google.com/spreadsheets/d/1XL5vhW3sbDhbH9Cz0tuDiY8C3ctxq1tqvaCgkFb8cCA/edit?usp=sharing"",""หนองคาย!M492"")"),5800)</f>
        <v>5800</v>
      </c>
      <c r="O597" s="412">
        <f t="shared" ref="O597:O601" ca="1" si="126">+IF(L597&gt;0,N597*100/L597,0)</f>
        <v>51.327433628318587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IFERROR(__xludf.DUMMYFUNCTION("IMPORTRANGE(""https://docs.google.com/spreadsheets/d/1XL5vhW3sbDhbH9Cz0tuDiY8C3ctxq1tqvaCgkFb8cCA/edit?usp=sharing"",""หนองคาย!M494"")"),5800)</f>
        <v>5800</v>
      </c>
      <c r="O599" s="169">
        <f t="shared" ca="1" si="126"/>
        <v>51.327433628318587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IFERROR(__xludf.DUMMYFUNCTION("IMPORTRANGE(""https://docs.google.com/spreadsheets/d/1XL5vhW3sbDhbH9Cz0tuDiY8C3ctxq1tqvaCgkFb8cCA/edit?usp=sharing"",""หนองคาย!M496"")"),5800)</f>
        <v>5800</v>
      </c>
      <c r="O601" s="169">
        <f t="shared" ca="1" si="126"/>
        <v>51.327433628318587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IFERROR(__xludf.DUMMYFUNCTION("IMPORTRANGE(""https://docs.google.com/spreadsheets/d/1XL5vhW3sbDhbH9Cz0tuDiY8C3ctxq1tqvaCgkFb8cCA/edit?usp=sharing"",""หนองคาย!M500"")"),5800)</f>
        <v>5800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IFERROR(__xludf.DUMMYFUNCTION("IMPORTRANGE(""https://docs.google.com/spreadsheets/d/1XL5vhW3sbDhbH9Cz0tuDiY8C3ctxq1tqvaCgkFb8cCA/edit?usp=sharing"",""หนองคาย!J166"")"),0)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IFERROR(__xludf.DUMMYFUNCTION("IMPORTRANGE(""https://docs.google.com/spreadsheets/d/1XL5vhW3sbDhbH9Cz0tuDiY8C3ctxq1tqvaCgkFb8cCA/edit?usp=sharing"",""หนองคาย!J166"")"),0)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IFERROR(__xludf.DUMMYFUNCTION("IMPORTRANGE(""https://docs.google.com/spreadsheets/d/1XL5vhW3sbDhbH9Cz0tuDiY8C3ctxq1tqvaCgkFb8cCA/edit?usp=sharing"",""หนองคาย!I523"")"),3580376.56)</f>
        <v>3580376.56</v>
      </c>
      <c r="J628" s="342">
        <f ca="1">IFERROR(__xludf.DUMMYFUNCTION("IMPORTRANGE(""https://docs.google.com/spreadsheets/d/1XL5vhW3sbDhbH9Cz0tuDiY8C3ctxq1tqvaCgkFb8cCA/edit?usp=sharing"",""หนองคาย!J523"")"),3489894.47)</f>
        <v>3489894.47</v>
      </c>
      <c r="K628" s="343">
        <f t="shared" ref="K628:K635" ca="1" si="129">IF(I628&gt;0,J628*100/I628,0)</f>
        <v>97.472833136858654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IFERROR(__xludf.DUMMYFUNCTION("IMPORTRANGE(""https://docs.google.com/spreadsheets/d/1XL5vhW3sbDhbH9Cz0tuDiY8C3ctxq1tqvaCgkFb8cCA/edit?usp=sharing"",""หนองคาย!I524"")"),357)</f>
        <v>357</v>
      </c>
      <c r="J629" s="342">
        <f ca="1">IFERROR(__xludf.DUMMYFUNCTION("IMPORTRANGE(""https://docs.google.com/spreadsheets/d/1XL5vhW3sbDhbH9Cz0tuDiY8C3ctxq1tqvaCgkFb8cCA/edit?usp=sharing"",""หนองคาย!J524"")"),352)</f>
        <v>352</v>
      </c>
      <c r="K629" s="343">
        <f t="shared" ca="1" si="129"/>
        <v>98.599439775910369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IFERROR(__xludf.DUMMYFUNCTION("IMPORTRANGE(""https://docs.google.com/spreadsheets/d/1XL5vhW3sbDhbH9Cz0tuDiY8C3ctxq1tqvaCgkFb8cCA/edit?usp=sharing"",""หนองคาย!I525"")"),550608.41)</f>
        <v>550608.41</v>
      </c>
      <c r="J630" s="342">
        <f ca="1">IFERROR(__xludf.DUMMYFUNCTION("IMPORTRANGE(""https://docs.google.com/spreadsheets/d/1XL5vhW3sbDhbH9Cz0tuDiY8C3ctxq1tqvaCgkFb8cCA/edit?usp=sharing"",""หนองคาย!J525"")"),294757.65)</f>
        <v>294757.65000000002</v>
      </c>
      <c r="K630" s="343">
        <f t="shared" ca="1" si="129"/>
        <v>53.533081705017914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IFERROR(__xludf.DUMMYFUNCTION("IMPORTRANGE(""https://docs.google.com/spreadsheets/d/1XL5vhW3sbDhbH9Cz0tuDiY8C3ctxq1tqvaCgkFb8cCA/edit?usp=sharing"",""หนองคาย!I526"")"),39)</f>
        <v>39</v>
      </c>
      <c r="J631" s="342">
        <f ca="1">IFERROR(__xludf.DUMMYFUNCTION("IMPORTRANGE(""https://docs.google.com/spreadsheets/d/1XL5vhW3sbDhbH9Cz0tuDiY8C3ctxq1tqvaCgkFb8cCA/edit?usp=sharing"",""หนองคาย!J526"")"),33)</f>
        <v>33</v>
      </c>
      <c r="K631" s="343">
        <f t="shared" ca="1" si="129"/>
        <v>84.615384615384613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2">
        <f ca="1">IFERROR(__xludf.DUMMYFUNCTION("IMPORTRANGE(""https://docs.google.com/spreadsheets/d/1XL5vhW3sbDhbH9Cz0tuDiY8C3ctxq1tqvaCgkFb8cCA/edit?usp=sharing"",""หนองคาย!J527"")"),522726.46)</f>
        <v>522726.46</v>
      </c>
      <c r="K632" s="343">
        <f t="shared" ca="1" si="129"/>
        <v>86.586914773850552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IFERROR(__xludf.DUMMYFUNCTION("IMPORTRANGE(""https://docs.google.com/spreadsheets/d/1XL5vhW3sbDhbH9Cz0tuDiY8C3ctxq1tqvaCgkFb8cCA/edit?usp=sharing"",""หนองคาย!I528"")"),83)</f>
        <v>83</v>
      </c>
      <c r="J633" s="342">
        <f ca="1">IFERROR(__xludf.DUMMYFUNCTION("IMPORTRANGE(""https://docs.google.com/spreadsheets/d/1XL5vhW3sbDhbH9Cz0tuDiY8C3ctxq1tqvaCgkFb8cCA/edit?usp=sharing"",""หนองคาย!J528"")"),98)</f>
        <v>98</v>
      </c>
      <c r="K633" s="343">
        <f t="shared" ca="1" si="129"/>
        <v>118.07228915662651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IFERROR(__xludf.DUMMYFUNCTION("IMPORTRANGE(""https://docs.google.com/spreadsheets/d/1XL5vhW3sbDhbH9Cz0tuDiY8C3ctxq1tqvaCgkFb8cCA/edit?usp=sharing"",""หนองคาย!I529"")"),5100000)</f>
        <v>5100000</v>
      </c>
      <c r="J634" s="342">
        <f ca="1">IFERROR(__xludf.DUMMYFUNCTION("IMPORTRANGE(""https://docs.google.com/spreadsheets/d/1XL5vhW3sbDhbH9Cz0tuDiY8C3ctxq1tqvaCgkFb8cCA/edit?usp=sharing"",""หนองคาย!J529"")"),5100000)</f>
        <v>5100000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IFERROR(__xludf.DUMMYFUNCTION("IMPORTRANGE(""https://docs.google.com/spreadsheets/d/1XL5vhW3sbDhbH9Cz0tuDiY8C3ctxq1tqvaCgkFb8cCA/edit?usp=sharing"",""หนองคาย!I530"")"),111)</f>
        <v>111</v>
      </c>
      <c r="J635" s="505">
        <f ca="1">IFERROR(__xludf.DUMMYFUNCTION("IMPORTRANGE(""https://docs.google.com/spreadsheets/d/1XL5vhW3sbDhbH9Cz0tuDiY8C3ctxq1tqvaCgkFb8cCA/edit?usp=sharing"",""หนองคาย!J530"")"),111)</f>
        <v>111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1080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1080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1080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IFERROR(__xludf.DUMMYFUNCTION("IMPORTRANGE(""https://docs.google.com/spreadsheets/d/1XL5vhW3sbDhbH9Cz0tuDiY8C3ctxq1tqvaCgkFb8cCA/edit#gid=346597447"",""หนองคาย!J541"")"),0)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IFERROR(__xludf.DUMMYFUNCTION("IMPORTRANGE(""https://docs.google.com/spreadsheets/d/1XL5vhW3sbDhbH9Cz0tuDiY8C3ctxq1tqvaCgkFb8cCA/edit#gid=346597447"",""หนองคาย!J542"")"),0)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IFERROR(__xludf.DUMMYFUNCTION("IMPORTRANGE(""https://docs.google.com/spreadsheets/d/1XL5vhW3sbDhbH9Cz0tuDiY8C3ctxq1tqvaCgkFb8cCA/edit#gid=346597447"",""หนองคาย!I543"")"),0)</f>
        <v>0</v>
      </c>
      <c r="J648" s="586">
        <f ca="1">IFERROR(__xludf.DUMMYFUNCTION("IMPORTRANGE(""https://docs.google.com/spreadsheets/d/1XL5vhW3sbDhbH9Cz0tuDiY8C3ctxq1tqvaCgkFb8cCA/edit#gid=346597447"",""หนองคาย!J543"")"),0)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IFERROR(__xludf.DUMMYFUNCTION("IMPORTRANGE(""https://docs.google.com/spreadsheets/d/1XL5vhW3sbDhbH9Cz0tuDiY8C3ctxq1tqvaCgkFb8cCA/edit#gid=346597447"",""หนองคาย!L543"")"),0)</f>
        <v>0</v>
      </c>
      <c r="M648" s="571"/>
      <c r="N648" s="588">
        <f ca="1">IFERROR(__xludf.DUMMYFUNCTION("IMPORTRANGE(""https://docs.google.com/spreadsheets/d/1XL5vhW3sbDhbH9Cz0tuDiY8C3ctxq1tqvaCgkFb8cCA/edit#gid=346597447"",""หนองคาย!M543"")"),0)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IFERROR(__xludf.DUMMYFUNCTION("IMPORTRANGE(""https://docs.google.com/spreadsheets/d/1XL5vhW3sbDhbH9Cz0tuDiY8C3ctxq1tqvaCgkFb8cCA/edit#gid=346597447"",""หนองคาย!I544"")"),4)</f>
        <v>4</v>
      </c>
      <c r="J649" s="586">
        <f ca="1">IFERROR(__xludf.DUMMYFUNCTION("IMPORTRANGE(""https://docs.google.com/spreadsheets/d/1XL5vhW3sbDhbH9Cz0tuDiY8C3ctxq1tqvaCgkFb8cCA/edit#gid=346597447"",""หนองคาย!J544"")"),0)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IFERROR(__xludf.DUMMYFUNCTION("IMPORTRANGE(""https://docs.google.com/spreadsheets/d/1XL5vhW3sbDhbH9Cz0tuDiY8C3ctxq1tqvaCgkFb8cCA/edit#gid=346597447"",""หนองคาย!L544"")"),480)</f>
        <v>480</v>
      </c>
      <c r="M649" s="571"/>
      <c r="N649" s="588">
        <f ca="1">IFERROR(__xludf.DUMMYFUNCTION("IMPORTRANGE(""https://docs.google.com/spreadsheets/d/1XL5vhW3sbDhbH9Cz0tuDiY8C3ctxq1tqvaCgkFb8cCA/edit#gid=346597447"",""หนองคาย!M544"")"),0)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IFERROR(__xludf.DUMMYFUNCTION("IMPORTRANGE(""https://docs.google.com/spreadsheets/d/1XL5vhW3sbDhbH9Cz0tuDiY8C3ctxq1tqvaCgkFb8cCA/edit#gid=346597447"",""หนองคาย!I545"")"),0)</f>
        <v>0</v>
      </c>
      <c r="J650" s="586">
        <f ca="1">IFERROR(__xludf.DUMMYFUNCTION("IMPORTRANGE(""https://docs.google.com/spreadsheets/d/1XL5vhW3sbDhbH9Cz0tuDiY8C3ctxq1tqvaCgkFb8cCA/edit#gid=346597447"",""หนองคาย!J545"")"),0)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IFERROR(__xludf.DUMMYFUNCTION("IMPORTRANGE(""https://docs.google.com/spreadsheets/d/1XL5vhW3sbDhbH9Cz0tuDiY8C3ctxq1tqvaCgkFb8cCA/edit#gid=346597447"",""หนองคาย!L545"")"),0)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IFERROR(__xludf.DUMMYFUNCTION("IMPORTRANGE(""https://docs.google.com/spreadsheets/d/1XL5vhW3sbDhbH9Cz0tuDiY8C3ctxq1tqvaCgkFb8cCA/edit#gid=346597447"",""หนองคาย!M545"")"),0)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IFERROR(__xludf.DUMMYFUNCTION("IMPORTRANGE(""https://docs.google.com/spreadsheets/d/1XL5vhW3sbDhbH9Cz0tuDiY8C3ctxq1tqvaCgkFb8cCA/edit#gid=346597447"",""หนองคาย!I546"")"),24)</f>
        <v>24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IFERROR(__xludf.DUMMYFUNCTION("IMPORTRANGE(""https://docs.google.com/spreadsheets/d/1XL5vhW3sbDhbH9Cz0tuDiY8C3ctxq1tqvaCgkFb8cCA/edit#gid=346597447"",""หนองคาย!L546"")"),600)</f>
        <v>600</v>
      </c>
      <c r="M651" s="571"/>
      <c r="N651" s="588">
        <f ca="1">IFERROR(__xludf.DUMMYFUNCTION("IMPORTRANGE(""https://docs.google.com/spreadsheets/d/1XL5vhW3sbDhbH9Cz0tuDiY8C3ctxq1tqvaCgkFb8cCA/edit#gid=346597447"",""หนองคาย!M546"")"),0)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IFERROR(__xludf.DUMMYFUNCTION("IMPORTRANGE(""https://docs.google.com/spreadsheets/d/1XL5vhW3sbDhbH9Cz0tuDiY8C3ctxq1tqvaCgkFb8cCA/edit#gid=346597447"",""หนองคาย!J547"")"),0)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IFERROR(__xludf.DUMMYFUNCTION("IMPORTRANGE(""https://docs.google.com/spreadsheets/d/1XL5vhW3sbDhbH9Cz0tuDiY8C3ctxq1tqvaCgkFb8cCA/edit#gid=346597447"",""หนองคาย!J548"")"),0)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IFERROR(__xludf.DUMMYFUNCTION("IMPORTRANGE(""https://docs.google.com/spreadsheets/d/1XL5vhW3sbDhbH9Cz0tuDiY8C3ctxq1tqvaCgkFb8cCA/edit#gid=346597447"",""หนองคาย!J550"")"),0)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IFERROR(__xludf.DUMMYFUNCTION("IMPORTRANGE(""https://docs.google.com/spreadsheets/d/1XL5vhW3sbDhbH9Cz0tuDiY8C3ctxq1tqvaCgkFb8cCA/edit#gid=346597447"",""หนองคาย!J551"")"),0)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IFERROR(__xludf.DUMMYFUNCTION("IMPORTRANGE(""https://docs.google.com/spreadsheets/d/1XL5vhW3sbDhbH9Cz0tuDiY8C3ctxq1tqvaCgkFb8cCA/edit#gid=346597447"",""หนองคาย!J552"")"),0)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IFERROR(__xludf.DUMMYFUNCTION("IMPORTRANGE(""https://docs.google.com/spreadsheets/d/1XL5vhW3sbDhbH9Cz0tuDiY8C3ctxq1tqvaCgkFb8cCA/edit#gid=346597447"",""หนองคาย!J553"")"),0)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IFERROR(__xludf.DUMMYFUNCTION("IMPORTRANGE(""https://docs.google.com/spreadsheets/d/1XL5vhW3sbDhbH9Cz0tuDiY8C3ctxq1tqvaCgkFb8cCA/edit#gid=346597447"",""หนองคาย!J554"")"),0)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IFERROR(__xludf.DUMMYFUNCTION("IMPORTRANGE(""https://docs.google.com/spreadsheets/d/1XL5vhW3sbDhbH9Cz0tuDiY8C3ctxq1tqvaCgkFb8cCA/edit#gid=346597447"",""หนองคาย!J555"")"),0)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IFERROR(__xludf.DUMMYFUNCTION("IMPORTRANGE(""https://docs.google.com/spreadsheets/d/1XL5vhW3sbDhbH9Cz0tuDiY8C3ctxq1tqvaCgkFb8cCA/edit#gid=346597447"",""หนองคาย!J556"")"),0)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IFERROR(__xludf.DUMMYFUNCTION("IMPORTRANGE(""https://docs.google.com/spreadsheets/d/1XL5vhW3sbDhbH9Cz0tuDiY8C3ctxq1tqvaCgkFb8cCA/edit#gid=346597447"",""หนองคาย!L556"")"),0)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IFERROR(__xludf.DUMMYFUNCTION("IMPORTRANGE(""https://docs.google.com/spreadsheets/d/1XL5vhW3sbDhbH9Cz0tuDiY8C3ctxq1tqvaCgkFb8cCA/edit#gid=346597447"",""หนองคาย!M556"")"),0)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IFERROR(__xludf.DUMMYFUNCTION("IMPORTRANGE(""https://docs.google.com/spreadsheets/d/1XL5vhW3sbDhbH9Cz0tuDiY8C3ctxq1tqvaCgkFb8cCA/edit#gid=346597447"",""หนองคาย!J557"")"),0)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IFERROR(__xludf.DUMMYFUNCTION("IMPORTRANGE(""https://docs.google.com/spreadsheets/d/1XL5vhW3sbDhbH9Cz0tuDiY8C3ctxq1tqvaCgkFb8cCA/edit#gid=346597447"",""หนองคาย!I558"")"),0)</f>
        <v>0</v>
      </c>
      <c r="J663" s="586">
        <f ca="1">IFERROR(__xludf.DUMMYFUNCTION("IMPORTRANGE(""https://docs.google.com/spreadsheets/d/1XL5vhW3sbDhbH9Cz0tuDiY8C3ctxq1tqvaCgkFb8cCA/edit#gid=346597447"",""หนองคาย!J558"")"),0)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IFERROR(__xludf.DUMMYFUNCTION("IMPORTRANGE(""https://docs.google.com/spreadsheets/d/1XL5vhW3sbDhbH9Cz0tuDiY8C3ctxq1tqvaCgkFb8cCA/edit#gid=346597447"",""หนองคาย!I560"")"),0)</f>
        <v>0</v>
      </c>
      <c r="J665" s="586">
        <f ca="1">IFERROR(__xludf.DUMMYFUNCTION("IMPORTRANGE(""https://docs.google.com/spreadsheets/d/1XL5vhW3sbDhbH9Cz0tuDiY8C3ctxq1tqvaCgkFb8cCA/edit#gid=346597447"",""หนองคาย!J560"")"),0)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IFERROR(__xludf.DUMMYFUNCTION("IMPORTRANGE(""https://docs.google.com/spreadsheets/d/1XL5vhW3sbDhbH9Cz0tuDiY8C3ctxq1tqvaCgkFb8cCA/edit#gid=346597447"",""หนองคาย!L560"")"),0)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IFERROR(__xludf.DUMMYFUNCTION("IMPORTRANGE(""https://docs.google.com/spreadsheets/d/1XL5vhW3sbDhbH9Cz0tuDiY8C3ctxq1tqvaCgkFb8cCA/edit#gid=346597447"",""หนองคาย!M560"")"),0)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IFERROR(__xludf.DUMMYFUNCTION("IMPORTRANGE(""https://docs.google.com/spreadsheets/d/1XL5vhW3sbDhbH9Cz0tuDiY8C3ctxq1tqvaCgkFb8cCA/edit#gid=346597447"",""หนองคาย!J561"")"),0)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IFERROR(__xludf.DUMMYFUNCTION("IMPORTRANGE(""https://docs.google.com/spreadsheets/d/1XL5vhW3sbDhbH9Cz0tuDiY8C3ctxq1tqvaCgkFb8cCA/edit#gid=346597447"",""หนองคาย!J562"")"),0)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IFERROR(__xludf.DUMMYFUNCTION("IMPORTRANGE(""https://docs.google.com/spreadsheets/d/1XL5vhW3sbDhbH9Cz0tuDiY8C3ctxq1tqvaCgkFb8cCA/edit#gid=346597447"",""หนองคาย!I563"")"),0)</f>
        <v>0</v>
      </c>
      <c r="J668" s="586">
        <f ca="1">IFERROR(__xludf.DUMMYFUNCTION("IMPORTRANGE(""https://docs.google.com/spreadsheets/d/1XL5vhW3sbDhbH9Cz0tuDiY8C3ctxq1tqvaCgkFb8cCA/edit#gid=346597447"",""หนองคาย!J563"")"),0)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IFERROR(__xludf.DUMMYFUNCTION("IMPORTRANGE(""https://docs.google.com/spreadsheets/d/1XL5vhW3sbDhbH9Cz0tuDiY8C3ctxq1tqvaCgkFb8cCA/edit#gid=346597447"",""หนองคาย!L563"")"),0)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IFERROR(__xludf.DUMMYFUNCTION("IMPORTRANGE(""https://docs.google.com/spreadsheets/d/1XL5vhW3sbDhbH9Cz0tuDiY8C3ctxq1tqvaCgkFb8cCA/edit#gid=346597447"",""หนองคาย!M563"")"),0)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IFERROR(__xludf.DUMMYFUNCTION("IMPORTRANGE(""https://docs.google.com/spreadsheets/d/1XL5vhW3sbDhbH9Cz0tuDiY8C3ctxq1tqvaCgkFb8cCA/edit#gid=346597447"",""หนองคาย!J564"")"),0)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IFERROR(__xludf.DUMMYFUNCTION("IMPORTRANGE(""https://docs.google.com/spreadsheets/d/1XL5vhW3sbDhbH9Cz0tuDiY8C3ctxq1tqvaCgkFb8cCA/edit#gid=346597447"",""หนองคาย!J565"")"),0)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IFERROR(__xludf.DUMMYFUNCTION("IMPORTRANGE(""https://docs.google.com/spreadsheets/d/1XL5vhW3sbDhbH9Cz0tuDiY8C3ctxq1tqvaCgkFb8cCA/edit#gid=346597447"",""หนองคาย!I566"")"),0)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IFERROR(__xludf.DUMMYFUNCTION("IMPORTRANGE(""https://docs.google.com/spreadsheets/d/1XL5vhW3sbDhbH9Cz0tuDiY8C3ctxq1tqvaCgkFb8cCA/edit#gid=346597447"",""หนองคาย!L566"")"),0)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IFERROR(__xludf.DUMMYFUNCTION("IMPORTRANGE(""https://docs.google.com/spreadsheets/d/1XL5vhW3sbDhbH9Cz0tuDiY8C3ctxq1tqvaCgkFb8cCA/edit#gid=346597447"",""หนองคาย!M566"")"),0)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IFERROR(__xludf.DUMMYFUNCTION("IMPORTRANGE(""https://docs.google.com/spreadsheets/d/1XL5vhW3sbDhbH9Cz0tuDiY8C3ctxq1tqvaCgkFb8cCA/edit#gid=346597447"",""หนองคาย!J567"")"),0)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IFERROR(__xludf.DUMMYFUNCTION("IMPORTRANGE(""https://docs.google.com/spreadsheets/d/1XL5vhW3sbDhbH9Cz0tuDiY8C3ctxq1tqvaCgkFb8cCA/edit#gid=346597447"",""หนองคาย!J568"")"),0)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IFERROR(__xludf.DUMMYFUNCTION("IMPORTRANGE(""https://docs.google.com/spreadsheets/d/1XL5vhW3sbDhbH9Cz0tuDiY8C3ctxq1tqvaCgkFb8cCA/edit#gid=346597447"",""หนองคาย!J569"")"),0)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IFERROR(__xludf.DUMMYFUNCTION("IMPORTRANGE(""https://docs.google.com/spreadsheets/d/1XL5vhW3sbDhbH9Cz0tuDiY8C3ctxq1tqvaCgkFb8cCA/edit#gid=346597447"",""หนองคาย!J570"")"),0)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IFERROR(__xludf.DUMMYFUNCTION("IMPORTRANGE(""https://docs.google.com/spreadsheets/d/1XL5vhW3sbDhbH9Cz0tuDiY8C3ctxq1tqvaCgkFb8cCA/edit#gid=346597447"",""หนองคาย!J571"")"),0)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IFERROR(__xludf.DUMMYFUNCTION("IMPORTRANGE(""https://docs.google.com/spreadsheets/d/1XL5vhW3sbDhbH9Cz0tuDiY8C3ctxq1tqvaCgkFb8cCA/edit#gid=346597447"",""หนองคาย!J572"")"),0)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8031241</v>
      </c>
      <c r="M8" s="23">
        <f t="shared" ca="1" si="0"/>
        <v>4773911</v>
      </c>
      <c r="N8" s="23">
        <f t="shared" ca="1" si="0"/>
        <v>6516680.0800000001</v>
      </c>
      <c r="O8" s="22">
        <f t="shared" ref="O8:O16" ca="1" si="1">IF(L8&gt;0,N8*100/L8,0)</f>
        <v>81.141632781284983</v>
      </c>
      <c r="P8" s="22">
        <f t="shared" ref="P8:P16" ca="1" si="2">IF(M8&gt;0,N8*100/M8,0)</f>
        <v>136.50610746618443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8031241</v>
      </c>
      <c r="M10" s="30">
        <f t="shared" ca="1" si="4"/>
        <v>4773911</v>
      </c>
      <c r="N10" s="30">
        <f t="shared" ca="1" si="4"/>
        <v>6516680.0800000001</v>
      </c>
      <c r="O10" s="29">
        <f t="shared" ca="1" si="1"/>
        <v>81.141632781284983</v>
      </c>
      <c r="P10" s="29">
        <f t="shared" ca="1" si="2"/>
        <v>136.50610746618443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6963641</v>
      </c>
      <c r="M12" s="38">
        <f t="shared" ca="1" si="6"/>
        <v>3706311</v>
      </c>
      <c r="N12" s="38">
        <f t="shared" ca="1" si="6"/>
        <v>5449080.0800000001</v>
      </c>
      <c r="O12" s="38">
        <f t="shared" ca="1" si="1"/>
        <v>78.25044513351564</v>
      </c>
      <c r="P12" s="38">
        <f t="shared" ca="1" si="2"/>
        <v>147.02166331967285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5076641</v>
      </c>
      <c r="M14" s="38">
        <f t="shared" si="8"/>
        <v>0</v>
      </c>
      <c r="N14" s="38">
        <f t="shared" ca="1" si="8"/>
        <v>2384935.5299999998</v>
      </c>
      <c r="O14" s="38">
        <f t="shared" ca="1" si="1"/>
        <v>46.978613023847849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1067600</v>
      </c>
      <c r="M16" s="38">
        <f t="shared" ca="1" si="10"/>
        <v>1067600</v>
      </c>
      <c r="N16" s="38">
        <f t="shared" ca="1" si="10"/>
        <v>1067600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4555905</v>
      </c>
      <c r="M18" s="23">
        <f t="shared" ca="1" si="11"/>
        <v>4773911</v>
      </c>
      <c r="N18" s="23">
        <f t="shared" ca="1" si="11"/>
        <v>4131744.55</v>
      </c>
      <c r="O18" s="22">
        <f t="shared" ref="O18:O20" ca="1" si="12">IF(L18&gt;0,N18*100/L18,0)</f>
        <v>90.689875008368261</v>
      </c>
      <c r="P18" s="22">
        <f t="shared" ref="P18:P26" ca="1" si="13">IF(M18&gt;0,N18*100/M18,0)</f>
        <v>86.548420152784587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4555905</v>
      </c>
      <c r="M20" s="30">
        <f t="shared" ca="1" si="15"/>
        <v>4773911</v>
      </c>
      <c r="N20" s="30">
        <f t="shared" ca="1" si="15"/>
        <v>4131744.55</v>
      </c>
      <c r="O20" s="29">
        <f t="shared" ca="1" si="12"/>
        <v>90.689875008368261</v>
      </c>
      <c r="P20" s="29">
        <f t="shared" ca="1" si="13"/>
        <v>86.548420152784587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3488305</v>
      </c>
      <c r="M22" s="41">
        <f t="shared" ca="1" si="18"/>
        <v>3706311</v>
      </c>
      <c r="N22" s="38">
        <f t="shared" ca="1" si="18"/>
        <v>3064144.55</v>
      </c>
      <c r="O22" s="38">
        <f t="shared" ca="1" si="17"/>
        <v>87.840499898948053</v>
      </c>
      <c r="P22" s="38">
        <f t="shared" ca="1" si="13"/>
        <v>82.673703043268631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1601305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1067600</v>
      </c>
      <c r="M26" s="49">
        <f t="shared" ca="1" si="22"/>
        <v>1067600</v>
      </c>
      <c r="N26" s="49">
        <f t="shared" ca="1" si="22"/>
        <v>1067600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3475336</v>
      </c>
      <c r="M28" s="23">
        <f t="shared" si="23"/>
        <v>0</v>
      </c>
      <c r="N28" s="23">
        <f t="shared" ca="1" si="23"/>
        <v>2384935.5299999998</v>
      </c>
      <c r="O28" s="22">
        <f t="shared" ref="O28:O30" ca="1" si="24">IF(L28&gt;0,N28*100/L28,0)</f>
        <v>68.62460291609213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3475336</v>
      </c>
      <c r="M30" s="30">
        <f t="shared" si="27"/>
        <v>0</v>
      </c>
      <c r="N30" s="30">
        <f t="shared" ca="1" si="27"/>
        <v>2384935.5299999998</v>
      </c>
      <c r="O30" s="29">
        <f t="shared" ca="1" si="24"/>
        <v>68.62460291609213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3475336</v>
      </c>
      <c r="M32" s="38">
        <f t="shared" si="30"/>
        <v>0</v>
      </c>
      <c r="N32" s="38">
        <f t="shared" ca="1" si="30"/>
        <v>2384935.5299999998</v>
      </c>
      <c r="O32" s="38">
        <f t="shared" ca="1" si="29"/>
        <v>68.62460291609213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3475336</v>
      </c>
      <c r="M34" s="38">
        <f t="shared" si="32"/>
        <v>0</v>
      </c>
      <c r="N34" s="38">
        <f t="shared" ca="1" si="32"/>
        <v>2384935.5299999998</v>
      </c>
      <c r="O34" s="38">
        <f t="shared" ca="1" si="29"/>
        <v>68.62460291609213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4555905</v>
      </c>
      <c r="M37" s="54">
        <f t="shared" ca="1" si="33"/>
        <v>4773911</v>
      </c>
      <c r="N37" s="54">
        <f t="shared" ca="1" si="33"/>
        <v>4131744.55</v>
      </c>
      <c r="O37" s="55">
        <f t="shared" ca="1" si="29"/>
        <v>90.689875008368261</v>
      </c>
      <c r="P37" s="55">
        <f t="shared" ca="1" si="25"/>
        <v>86.548420152784587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1619300</v>
      </c>
      <c r="N41" s="78">
        <f t="shared" ca="1" si="34"/>
        <v>1451286.02</v>
      </c>
      <c r="O41" s="77">
        <f t="shared" ref="O41:O43" ca="1" si="35">IF(L41&gt;0,N41*100/L41,0)</f>
        <v>89.624283332304088</v>
      </c>
      <c r="P41" s="77">
        <f t="shared" ref="P41:P43" ca="1" si="36">IF(M41&gt;0,N41*100/M41,0)</f>
        <v>89.624283332304088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1619300</v>
      </c>
      <c r="N43" s="78">
        <f t="shared" ca="1" si="38"/>
        <v>1451286.02</v>
      </c>
      <c r="O43" s="77">
        <f t="shared" ca="1" si="35"/>
        <v>89.624283332304088</v>
      </c>
      <c r="P43" s="77">
        <f t="shared" ca="1" si="36"/>
        <v>89.624283332304088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3">
        <f ca="1">IFERROR(__xludf.DUMMYFUNCTION("IMPORTRANGE(""https://docs.google.com/spreadsheets/d/1Yj_ptqi66GCucihVvJfMjLAmec39IyEx_6qawtMGysU/edit?usp=sharing"",""สบก!Q54"")"),649100)</f>
        <v>649100</v>
      </c>
      <c r="N45" s="623">
        <f ca="1">IFERROR(__xludf.DUMMYFUNCTION("IMPORTRANGE(""https://docs.google.com/spreadsheets/d/1Yj_ptqi66GCucihVvJfMjLAmec39IyEx_6qawtMGysU/edit?usp=sharing"",""สบก!R54"")"),481086.02)</f>
        <v>481086.02</v>
      </c>
      <c r="O45" s="624">
        <f ca="1">IF(L45&gt;0,N45*100/L45,0)</f>
        <v>74.115855800338935</v>
      </c>
      <c r="P45" s="624">
        <f ca="1">IF(M45&gt;0,N45*100/M45,0)</f>
        <v>74.115855800338935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IFERROR(__xludf.DUMMYFUNCTION("IMPORTRANGE(""https://docs.google.com/spreadsheets/d/1Yj_ptqi66GCucihVvJfMjLAmec39IyEx_6qawtMGysU/edit?usp=sharing"",""สบก!M54"")"),649100)</f>
        <v>649100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IFERROR(__xludf.DUMMYFUNCTION("IMPORTRANGE(""https://docs.google.com/spreadsheets/d/1Yj_ptqi66GCucihVvJfMjLAmec39IyEx_6qawtMGysU/edit?usp=sharing"",""สบก!O54"")"),970200)</f>
        <v>970200</v>
      </c>
      <c r="M49" s="626">
        <f ca="1">L49</f>
        <v>970200</v>
      </c>
      <c r="N49" s="623">
        <f ca="1">IFERROR(__xludf.DUMMYFUNCTION("IMPORTRANGE(""https://docs.google.com/spreadsheets/d/1Yj_ptqi66GCucihVvJfMjLAmec39IyEx_6qawtMGysU/edit?usp=sharing"",""สบก!S54"")"),970200)</f>
        <v>970200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774036</v>
      </c>
      <c r="N53" s="121">
        <f t="shared" ca="1" si="39"/>
        <v>742522</v>
      </c>
      <c r="O53" s="120">
        <f t="shared" ref="O53:O55" ca="1" si="40">IF(L53&gt;0,N53*100/L53,0)</f>
        <v>122.77149470899471</v>
      </c>
      <c r="P53" s="120">
        <f t="shared" ref="P53:P55" ca="1" si="41">IF(M53&gt;0,N53*100/M53,0)</f>
        <v>95.928613139440543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774036</v>
      </c>
      <c r="N55" s="121">
        <f t="shared" ca="1" si="43"/>
        <v>742522</v>
      </c>
      <c r="O55" s="120">
        <f t="shared" ca="1" si="40"/>
        <v>122.77149470899471</v>
      </c>
      <c r="P55" s="120">
        <f t="shared" ca="1" si="41"/>
        <v>95.928613139440543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623">
        <f ca="1">IFERROR(__xludf.DUMMYFUNCTION("IMPORTRANGE(""https://docs.google.com/spreadsheets/d/1Yj_ptqi66GCucihVvJfMjLAmec39IyEx_6qawtMGysU/edit?usp=sharing"",""สบก!Z54"")"),774036)</f>
        <v>774036</v>
      </c>
      <c r="N57" s="623">
        <f ca="1">IFERROR(__xludf.DUMMYFUNCTION("IMPORTRANGE(""https://docs.google.com/spreadsheets/d/1Yj_ptqi66GCucihVvJfMjLAmec39IyEx_6qawtMGysU/edit?usp=sharing"",""สบก!AA54"")"),742522)</f>
        <v>742522</v>
      </c>
      <c r="O57" s="624">
        <f ca="1">IF(L57&gt;0,N57*100/L57,0)</f>
        <v>122.77149470899471</v>
      </c>
      <c r="P57" s="624">
        <f ca="1">IF(M57&gt;0,N57*100/M57,0)</f>
        <v>95.928613139440543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IFERROR(__xludf.DUMMYFUNCTION("IMPORTRANGE(""https://docs.google.com/spreadsheets/d/1Yj_ptqi66GCucihVvJfMjLAmec39IyEx_6qawtMGysU/edit?usp=sharing"",""สบก!V54"")"),604800)</f>
        <v>604800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IFERROR(__xludf.DUMMYFUNCTION("IMPORTRANGE(""https://docs.google.com/spreadsheets/d/1Yj_ptqi66GCucihVvJfMjLAmec39IyEx_6qawtMGysU/edit?usp=sharing"",""สบก!X54"")"),0)</f>
        <v>0</v>
      </c>
      <c r="M61" s="626"/>
      <c r="N61" s="623">
        <f ca="1">IFERROR(__xludf.DUMMYFUNCTION("IMPORTRANGE(""https://docs.google.com/spreadsheets/d/1Yj_ptqi66GCucihVvJfMjLAmec39IyEx_6qawtMGysU/edit?usp=sharing"",""สบก!AB54"")"),0)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662500</v>
      </c>
      <c r="M66" s="152">
        <f t="shared" ca="1" si="45"/>
        <v>669120</v>
      </c>
      <c r="N66" s="152">
        <f t="shared" ca="1" si="45"/>
        <v>565917.1</v>
      </c>
      <c r="O66" s="151">
        <f t="shared" ref="O66:O68" ca="1" si="46">IF(L66&gt;0,N66*100/L66,0)</f>
        <v>85.421449056603777</v>
      </c>
      <c r="P66" s="151">
        <f t="shared" ref="P66:P68" ca="1" si="47">IF(M66&gt;0,N66*100/M66,0)</f>
        <v>84.576324127211862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662500</v>
      </c>
      <c r="M68" s="157">
        <f t="shared" ca="1" si="49"/>
        <v>669120</v>
      </c>
      <c r="N68" s="157">
        <f t="shared" ca="1" si="49"/>
        <v>565917.1</v>
      </c>
      <c r="O68" s="156">
        <f t="shared" ca="1" si="46"/>
        <v>85.421449056603777</v>
      </c>
      <c r="P68" s="156">
        <f t="shared" ca="1" si="47"/>
        <v>84.576324127211862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614000</v>
      </c>
      <c r="M70" s="627">
        <f ca="1">IFERROR(__xludf.DUMMYFUNCTION("IMPORTRANGE(""https://docs.google.com/spreadsheets/d/1Yj_ptqi66GCucihVvJfMjLAmec39IyEx_6qawtMGysU/edit?usp=sharing"",""สบก!AI54"")"),620620)</f>
        <v>620620</v>
      </c>
      <c r="N70" s="628">
        <f ca="1">IFERROR(__xludf.DUMMYFUNCTION("IMPORTRANGE(""https://docs.google.com/spreadsheets/d/1Yj_ptqi66GCucihVvJfMjLAmec39IyEx_6qawtMGysU/edit?usp=sharing"",""สบก!AJ54"")"),517417.1)</f>
        <v>517417.1</v>
      </c>
      <c r="O70" s="169">
        <f ca="1">IF(L70&gt;0,N70*100/L70,0)</f>
        <v>84.269885993485346</v>
      </c>
      <c r="P70" s="169">
        <f ca="1">IF(M70&gt;0,N70*100/M70,0)</f>
        <v>83.370999967774168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IFERROR(__xludf.DUMMYFUNCTION("IMPORTRANGE(""https://docs.google.com/spreadsheets/d/1Yj_ptqi66GCucihVvJfMjLAmec39IyEx_6qawtMGysU/edit?usp=sharing"",""สบก!AF54"")"),382000)</f>
        <v>382000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IFERROR(__xludf.DUMMYFUNCTION("IMPORTRANGE(""https://docs.google.com/spreadsheets/d/1Yj_ptqi66GCucihVvJfMjLAmec39IyEx_6qawtMGysU/edit?usp=sharing"",""สบก!AG54"")"),48500)</f>
        <v>48500</v>
      </c>
      <c r="M74" s="626">
        <f ca="1">L74</f>
        <v>48500</v>
      </c>
      <c r="N74" s="623">
        <f ca="1">IFERROR(__xludf.DUMMYFUNCTION("IMPORTRANGE(""https://docs.google.com/spreadsheets/d/1Yj_ptqi66GCucihVvJfMjLAmec39IyEx_6qawtMGysU/edit?usp=sharing"",""สบก!AK54"")"),48500)</f>
        <v>48500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IFERROR(__xludf.DUMMYFUNCTION("IMPORTRANGE(""https://docs.google.com/spreadsheets/d/1XL5vhW3sbDhbH9Cz0tuDiY8C3ctxq1tqvaCgkFb8cCA/edit?usp=sharing"",""หนองบัวลำภู!I28"")"),1)</f>
        <v>1</v>
      </c>
      <c r="J88" s="204">
        <f ca="1">IFERROR(__xludf.DUMMYFUNCTION("IMPORTRANGE(""https://docs.google.com/spreadsheets/d/1XL5vhW3sbDhbH9Cz0tuDiY8C3ctxq1tqvaCgkFb8cCA/edit?usp=sharing"",""หนองบัวลำภู!J28"")"),1)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IFERROR(__xludf.DUMMYFUNCTION("IMPORTRANGE(""https://docs.google.com/spreadsheets/d/1Yj_ptqi66GCucihVvJfMjLAmec39IyEx_6qawtMGysU/edit?usp=sharing"",""สบก!AR54"")"),0)</f>
        <v>0</v>
      </c>
      <c r="N98" s="628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IFERROR(__xludf.DUMMYFUNCTION("IMPORTRANGE(""https://docs.google.com/spreadsheets/d/1Yj_ptqi66GCucihVvJfMjLAmec39IyEx_6qawtMGysU/edit?usp=sharing"",""สบก!AP54"")"),0)</f>
        <v>0</v>
      </c>
      <c r="M102" s="626"/>
      <c r="N102" s="623">
        <f ca="1">IFERROR(__xludf.DUMMYFUNCTION("IMPORTRANGE(""https://docs.google.com/spreadsheets/d/1Yj_ptqi66GCucihVvJfMjLAmec39IyEx_6qawtMGysU/edit?usp=sharing"",""สบก!AT54"")"),0)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IFERROR(__xludf.DUMMYFUNCTION("IMPORTRANGE(""https://docs.google.com/spreadsheets/d/1Yj_ptqi66GCucihVvJfMjLAmec39IyEx_6qawtMGysU/edit?usp=sharing"",""สบก!BA54"")"),0)</f>
        <v>0</v>
      </c>
      <c r="N122" s="628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IFERROR(__xludf.DUMMYFUNCTION("IMPORTRANGE(""https://docs.google.com/spreadsheets/d/1Yj_ptqi66GCucihVvJfMjLAmec39IyEx_6qawtMGysU/edit?usp=sharing"",""สบก!AY54"")"),0)</f>
        <v>0</v>
      </c>
      <c r="M126" s="626"/>
      <c r="N126" s="623">
        <f ca="1">IFERROR(__xludf.DUMMYFUNCTION("IMPORTRANGE(""https://docs.google.com/spreadsheets/d/1Yj_ptqi66GCucihVvJfMjLAmec39IyEx_6qawtMGysU/edit?usp=sharing"",""สบก!BC54"")"),0)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314700</v>
      </c>
      <c r="M140" s="152">
        <f t="shared" ca="1" si="64"/>
        <v>314700</v>
      </c>
      <c r="N140" s="152">
        <f t="shared" ca="1" si="64"/>
        <v>308917.21999999997</v>
      </c>
      <c r="O140" s="151">
        <f t="shared" ref="O140:O142" ca="1" si="65">IF(L140&gt;0,N140*100/L140,0)</f>
        <v>98.162446774706055</v>
      </c>
      <c r="P140" s="151">
        <f t="shared" ref="P140:P142" ca="1" si="66">IF(M140&gt;0,N140*100/M140,0)</f>
        <v>98.162446774706055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314700</v>
      </c>
      <c r="M142" s="157">
        <f t="shared" ca="1" si="68"/>
        <v>314700</v>
      </c>
      <c r="N142" s="157">
        <f t="shared" ca="1" si="68"/>
        <v>308917.21999999997</v>
      </c>
      <c r="O142" s="156">
        <f t="shared" ca="1" si="65"/>
        <v>98.162446774706055</v>
      </c>
      <c r="P142" s="156">
        <f t="shared" ca="1" si="66"/>
        <v>98.162446774706055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314700</v>
      </c>
      <c r="M144" s="627">
        <f ca="1">IFERROR(__xludf.DUMMYFUNCTION("IMPORTRANGE(""https://docs.google.com/spreadsheets/d/1Yj_ptqi66GCucihVvJfMjLAmec39IyEx_6qawtMGysU/edit?usp=sharing"",""สบก!BJ54"")"),314700)</f>
        <v>314700</v>
      </c>
      <c r="N144" s="628">
        <f ca="1">IFERROR(__xludf.DUMMYFUNCTION("IMPORTRANGE(""https://docs.google.com/spreadsheets/d/1Yj_ptqi66GCucihVvJfMjLAmec39IyEx_6qawtMGysU/edit?usp=sharing"",""สบก!BK54"")"),308917.22)</f>
        <v>308917.21999999997</v>
      </c>
      <c r="O144" s="169">
        <f ca="1">IF(L144&gt;0,N144*100/L144,0)</f>
        <v>98.162446774706055</v>
      </c>
      <c r="P144" s="169">
        <f ca="1">IF(M144&gt;0,N144*100/M144,0)</f>
        <v>98.162446774706055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IFERROR(__xludf.DUMMYFUNCTION("IMPORTRANGE(""https://docs.google.com/spreadsheets/d/1Yj_ptqi66GCucihVvJfMjLAmec39IyEx_6qawtMGysU/edit?usp=sharing"",""สบก!BG54"")"),219600)</f>
        <v>219600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IFERROR(__xludf.DUMMYFUNCTION("IMPORTRANGE(""https://docs.google.com/spreadsheets/d/1Yj_ptqi66GCucihVvJfMjLAmec39IyEx_6qawtMGysU/edit?usp=sharing"",""สบก!BH54"")"),0)</f>
        <v>0</v>
      </c>
      <c r="M148" s="626"/>
      <c r="N148" s="623">
        <f ca="1">IFERROR(__xludf.DUMMYFUNCTION("IMPORTRANGE(""https://docs.google.com/spreadsheets/d/1Yj_ptqi66GCucihVvJfMjLAmec39IyEx_6qawtMGysU/edit?usp=sharing"",""สบก!BL54"")"),0)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IFERROR(__xludf.DUMMYFUNCTION("IMPORTRANGE(""https://docs.google.com/spreadsheets/d/1XL5vhW3sbDhbH9Cz0tuDiY8C3ctxq1tqvaCgkFb8cCA/edit?usp=sharing"",""หนองบัวลำภู!J84"")"),65)</f>
        <v>65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IFERROR(__xludf.DUMMYFUNCTION("IMPORTRANGE(""https://docs.google.com/spreadsheets/d/1XL5vhW3sbDhbH9Cz0tuDiY8C3ctxq1tqvaCgkFb8cCA/edit?usp=sharing"",""หนองบัวลำภู!J85"")"),65)</f>
        <v>65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IFERROR(__xludf.DUMMYFUNCTION("IMPORTRANGE(""https://docs.google.com/spreadsheets/d/1XL5vhW3sbDhbH9Cz0tuDiY8C3ctxq1tqvaCgkFb8cCA/edit?usp=sharing"",""หนองบัวลำภู!J88"")"),0)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IFERROR(__xludf.DUMMYFUNCTION("IMPORTRANGE(""https://docs.google.com/spreadsheets/d/1XL5vhW3sbDhbH9Cz0tuDiY8C3ctxq1tqvaCgkFb8cCA/edit?usp=sharing"",""หนองบัวลำภู!I89"")"),3)</f>
        <v>3</v>
      </c>
      <c r="J164" s="285">
        <f ca="1">IFERROR(__xludf.DUMMYFUNCTION("IMPORTRANGE(""https://docs.google.com/spreadsheets/d/1XL5vhW3sbDhbH9Cz0tuDiY8C3ctxq1tqvaCgkFb8cCA/edit?usp=sharing"",""หนองบัวลำภู!J89"")"),3)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IFERROR(__xludf.DUMMYFUNCTION("IMPORTRANGE(""https://docs.google.com/spreadsheets/d/1XL5vhW3sbDhbH9Cz0tuDiY8C3ctxq1tqvaCgkFb8cCA/edit?usp=sharing"",""หนองบัวลำภู!J100"")"),1)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IFERROR(__xludf.DUMMYFUNCTION("IMPORTRANGE(""https://docs.google.com/spreadsheets/d/1XL5vhW3sbDhbH9Cz0tuDiY8C3ctxq1tqvaCgkFb8cCA/edit?usp=sharing"",""หนองบัวลำภู!I101"")"),3)</f>
        <v>3</v>
      </c>
      <c r="J176" s="285">
        <f ca="1">IFERROR(__xludf.DUMMYFUNCTION("IMPORTRANGE(""https://docs.google.com/spreadsheets/d/1XL5vhW3sbDhbH9Cz0tuDiY8C3ctxq1tqvaCgkFb8cCA/edit?usp=sharing"",""หนองบัวลำภู!J101"")"),3)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IFERROR(__xludf.DUMMYFUNCTION("IMPORTRANGE(""https://docs.google.com/spreadsheets/d/1XL5vhW3sbDhbH9Cz0tuDiY8C3ctxq1tqvaCgkFb8cCA/edit?usp=sharing"",""หนองบัวลำภู!J113"")"),1)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5">
        <f ca="1">IFERROR(__xludf.DUMMYFUNCTION("IMPORTRANGE(""https://docs.google.com/spreadsheets/d/1XL5vhW3sbDhbH9Cz0tuDiY8C3ctxq1tqvaCgkFb8cCA/edit?usp=sharing"",""หนองบัวลำภู!J114"")"),10000)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IFERROR(__xludf.DUMMYFUNCTION("IMPORTRANGE(""https://docs.google.com/spreadsheets/d/1XL5vhW3sbDhbH9Cz0tuDiY8C3ctxq1tqvaCgkFb8cCA/edit?usp=sharing"",""หนองบัวลำภู!J128"")"),0)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IFERROR(__xludf.DUMMYFUNCTION("IMPORTRANGE(""https://docs.google.com/spreadsheets/d/1XL5vhW3sbDhbH9Cz0tuDiY8C3ctxq1tqvaCgkFb8cCA/edit?usp=sharing"",""หนองบัวลำภู!I129"")"),0)</f>
        <v>0</v>
      </c>
      <c r="J204" s="285">
        <f ca="1">IFERROR(__xludf.DUMMYFUNCTION("IMPORTRANGE(""https://docs.google.com/spreadsheets/d/1XL5vhW3sbDhbH9Cz0tuDiY8C3ctxq1tqvaCgkFb8cCA/edit?usp=sharing"",""หนองบัวลำภู!J129"")"),0)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7">
        <f ca="1">IFERROR(__xludf.DUMMYFUNCTION("IMPORTRANGE(""https://docs.google.com/spreadsheets/d/1Yj_ptqi66GCucihVvJfMjLAmec39IyEx_6qawtMGysU/edit?usp=sharing"",""สบก!BS54"")"),19295)</f>
        <v>19295</v>
      </c>
      <c r="N224" s="628">
        <f ca="1">IFERROR(__xludf.DUMMYFUNCTION("IMPORTRANGE(""https://docs.google.com/spreadsheets/d/1Yj_ptqi66GCucihVvJfMjLAmec39IyEx_6qawtMGysU/edit?usp=sharing"",""สบก!BT54"")"),19295)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IFERROR(__xludf.DUMMYFUNCTION("IMPORTRANGE(""https://docs.google.com/spreadsheets/d/1Yj_ptqi66GCucihVvJfMjLAmec39IyEx_6qawtMGysU/edit?usp=sharing"",""สบก!BP54"")"),19295)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IFERROR(__xludf.DUMMYFUNCTION("IMPORTRANGE(""https://docs.google.com/spreadsheets/d/1Yj_ptqi66GCucihVvJfMjLAmec39IyEx_6qawtMGysU/edit?usp=sharing"",""สบก!BQ54"")"),0)</f>
        <v>0</v>
      </c>
      <c r="M228" s="626"/>
      <c r="N228" s="623">
        <f ca="1">IFERROR(__xludf.DUMMYFUNCTION("IMPORTRANGE(""https://docs.google.com/spreadsheets/d/1Yj_ptqi66GCucihVvJfMjLAmec39IyEx_6qawtMGysU/edit?usp=sharing"",""สบก!BU54"")"),0)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IFERROR(__xludf.DUMMYFUNCTION("IMPORTRANGE(""https://docs.google.com/spreadsheets/d/1XL5vhW3sbDhbH9Cz0tuDiY8C3ctxq1tqvaCgkFb8cCA/edit?usp=sharing"",""หนองบัวลำภู!I169"")"),0)</f>
        <v>0</v>
      </c>
      <c r="J249" s="317">
        <f ca="1">IFERROR(__xludf.DUMMYFUNCTION("IMPORTRANGE(""https://docs.google.com/spreadsheets/d/1XL5vhW3sbDhbH9Cz0tuDiY8C3ctxq1tqvaCgkFb8cCA/edit?usp=sharing"",""หนองบัวลำภู!J169"")"),0)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IFERROR(__xludf.DUMMYFUNCTION("IMPORTRANGE(""https://docs.google.com/spreadsheets/d/1Yj_ptqi66GCucihVvJfMjLAmec39IyEx_6qawtMGysU/edit?usp=sharing"",""สบก!CB54"")"),0)</f>
        <v>0</v>
      </c>
      <c r="N254" s="628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IFERROR(__xludf.DUMMYFUNCTION("IMPORTRANGE(""https://docs.google.com/spreadsheets/d/1Yj_ptqi66GCucihVvJfMjLAmec39IyEx_6qawtMGysU/edit?usp=sharing"",""สบก!BZ54"")"),0)</f>
        <v>0</v>
      </c>
      <c r="M258" s="626"/>
      <c r="N258" s="623">
        <f ca="1">IFERROR(__xludf.DUMMYFUNCTION("IMPORTRANGE(""https://docs.google.com/spreadsheets/d/1Yj_ptqi66GCucihVvJfMjLAmec39IyEx_6qawtMGysU/edit?usp=sharing"",""สบก!CD54"")"),0)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IFERROR(__xludf.DUMMYFUNCTION("IMPORTRANGE(""https://docs.google.com/spreadsheets/d/1XL5vhW3sbDhbH9Cz0tuDiY8C3ctxq1tqvaCgkFb8cCA/edit?usp=sharing"",""หนองบัวลำภู!J184"")"),0)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IFERROR(__xludf.DUMMYFUNCTION("IMPORTRANGE(""https://docs.google.com/spreadsheets/d/1XL5vhW3sbDhbH9Cz0tuDiY8C3ctxq1tqvaCgkFb8cCA/edit?usp=sharing"",""หนองบัวลำภู!I185"")"),0)</f>
        <v>0</v>
      </c>
      <c r="J270" s="317">
        <f ca="1">IFERROR(__xludf.DUMMYFUNCTION("IMPORTRANGE(""https://docs.google.com/spreadsheets/d/1XL5vhW3sbDhbH9Cz0tuDiY8C3ctxq1tqvaCgkFb8cCA/edit?usp=sharing"",""หนองบัวลำภู!J185"")"),0)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IFERROR(__xludf.DUMMYFUNCTION("IMPORTRANGE(""https://docs.google.com/spreadsheets/d/1Yj_ptqi66GCucihVvJfMjLAmec39IyEx_6qawtMGysU/edit?usp=sharing"",""สบก!CK54"")"),0)</f>
        <v>0</v>
      </c>
      <c r="N275" s="628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IFERROR(__xludf.DUMMYFUNCTION("IMPORTRANGE(""https://docs.google.com/spreadsheets/d/1Yj_ptqi66GCucihVvJfMjLAmec39IyEx_6qawtMGysU/edit?usp=sharing"",""สบก!CI54"")"),0)</f>
        <v>0</v>
      </c>
      <c r="M279" s="626"/>
      <c r="N279" s="623">
        <f ca="1">IFERROR(__xludf.DUMMYFUNCTION("IMPORTRANGE(""https://docs.google.com/spreadsheets/d/1Yj_ptqi66GCucihVvJfMjLAmec39IyEx_6qawtMGysU/edit?usp=sharing"",""สบก!CM54"")"),0)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IFERROR(__xludf.DUMMYFUNCTION("IMPORTRANGE(""https://docs.google.com/spreadsheets/d/1XL5vhW3sbDhbH9Cz0tuDiY8C3ctxq1tqvaCgkFb8cCA/edit?usp=sharing"",""หนองบัวลำภู!I199"")"),0)</f>
        <v>0</v>
      </c>
      <c r="J289" s="317">
        <f ca="1">IFERROR(__xludf.DUMMYFUNCTION("IMPORTRANGE(""https://docs.google.com/spreadsheets/d/1XL5vhW3sbDhbH9Cz0tuDiY8C3ctxq1tqvaCgkFb8cCA/edit?usp=sharing"",""หนองบัวลำภู!J199"")"),0)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IFERROR(__xludf.DUMMYFUNCTION("IMPORTRANGE(""https://docs.google.com/spreadsheets/d/1Yj_ptqi66GCucihVvJfMjLAmec39IyEx_6qawtMGysU/edit?usp=sharing"",""สบก!CT54"")"),0)</f>
        <v>0</v>
      </c>
      <c r="N294" s="628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IFERROR(__xludf.DUMMYFUNCTION("IMPORTRANGE(""https://docs.google.com/spreadsheets/d/1Yj_ptqi66GCucihVvJfMjLAmec39IyEx_6qawtMGysU/edit?usp=sharing"",""สบก!CR54"")"),0)</f>
        <v>0</v>
      </c>
      <c r="M298" s="626"/>
      <c r="N298" s="623">
        <f ca="1">IFERROR(__xludf.DUMMYFUNCTION("IMPORTRANGE(""https://docs.google.com/spreadsheets/d/1Yj_ptqi66GCucihVvJfMjLAmec39IyEx_6qawtMGysU/edit?usp=sharing"",""สบก!CV54"")"),0)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IFERROR(__xludf.DUMMYFUNCTION("IMPORTRANGE(""https://docs.google.com/spreadsheets/d/1XL5vhW3sbDhbH9Cz0tuDiY8C3ctxq1tqvaCgkFb8cCA/edit?usp=sharing"",""หนองบัวลำภู!I214"")"),0)</f>
        <v>0</v>
      </c>
      <c r="J309" s="334">
        <f ca="1">IFERROR(__xludf.DUMMYFUNCTION("IMPORTRANGE(""https://docs.google.com/spreadsheets/d/1XL5vhW3sbDhbH9Cz0tuDiY8C3ctxq1tqvaCgkFb8cCA/edit?usp=sharing"",""หนองบัวลำภู!J214"")"),0)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IFERROR(__xludf.DUMMYFUNCTION("IMPORTRANGE(""https://docs.google.com/spreadsheets/d/1Yj_ptqi66GCucihVvJfMjLAmec39IyEx_6qawtMGysU/edit?usp=sharing"",""สบก!DC54"")"),0)</f>
        <v>0</v>
      </c>
      <c r="N314" s="628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IFERROR(__xludf.DUMMYFUNCTION("IMPORTRANGE(""https://docs.google.com/spreadsheets/d/1Yj_ptqi66GCucihVvJfMjLAmec39IyEx_6qawtMGysU/edit?usp=sharing"",""สบก!DA54"")"),0)</f>
        <v>0</v>
      </c>
      <c r="M318" s="626"/>
      <c r="N318" s="623">
        <f ca="1">IFERROR(__xludf.DUMMYFUNCTION("IMPORTRANGE(""https://docs.google.com/spreadsheets/d/1Yj_ptqi66GCucihVvJfMjLAmec39IyEx_6qawtMGysU/edit?usp=sharing"",""สบก!DE54"")"),0)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IFERROR(__xludf.DUMMYFUNCTION("IMPORTRANGE(""https://docs.google.com/spreadsheets/d/1XL5vhW3sbDhbH9Cz0tuDiY8C3ctxq1tqvaCgkFb8cCA/edit?usp=sharing"",""หนองบัวลำภู!I228"")"),840)</f>
        <v>840</v>
      </c>
      <c r="J328" s="340">
        <f ca="1">IFERROR(__xludf.DUMMYFUNCTION("IMPORTRANGE(""https://docs.google.com/spreadsheets/d/1XL5vhW3sbDhbH9Cz0tuDiY8C3ctxq1tqvaCgkFb8cCA/edit?usp=sharing"",""หนองบัวลำภู!J228"")"),381)</f>
        <v>381</v>
      </c>
      <c r="K328" s="318">
        <f ca="1">IF(I328&gt;0,J328*100/I328,0)</f>
        <v>45.357142857142854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1335310</v>
      </c>
      <c r="M329" s="152">
        <f t="shared" ca="1" si="98"/>
        <v>1377460</v>
      </c>
      <c r="N329" s="152">
        <f t="shared" ca="1" si="98"/>
        <v>1043807.21</v>
      </c>
      <c r="O329" s="151">
        <f t="shared" ref="O329:O331" ca="1" si="99">IF(L329&gt;0,N329*100/L329,0)</f>
        <v>78.169654237592766</v>
      </c>
      <c r="P329" s="151">
        <f t="shared" ref="P329:P331" ca="1" si="100">IF(M329&gt;0,N329*100/M329,0)</f>
        <v>75.777678480681828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1335310</v>
      </c>
      <c r="M331" s="157">
        <f t="shared" ca="1" si="102"/>
        <v>1377460</v>
      </c>
      <c r="N331" s="157">
        <f t="shared" ca="1" si="102"/>
        <v>1043807.21</v>
      </c>
      <c r="O331" s="156">
        <f t="shared" ca="1" si="99"/>
        <v>78.169654237592766</v>
      </c>
      <c r="P331" s="156">
        <f t="shared" ca="1" si="100"/>
        <v>75.777678480681828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1286410</v>
      </c>
      <c r="M333" s="627">
        <f ca="1">IFERROR(__xludf.DUMMYFUNCTION("IMPORTRANGE(""https://docs.google.com/spreadsheets/d/1Yj_ptqi66GCucihVvJfMjLAmec39IyEx_6qawtMGysU/edit?usp=sharing"",""สบก!DL54"")"),1328560)</f>
        <v>1328560</v>
      </c>
      <c r="N333" s="628">
        <f ca="1">IFERROR(__xludf.DUMMYFUNCTION("IMPORTRANGE(""https://docs.google.com/spreadsheets/d/1Yj_ptqi66GCucihVvJfMjLAmec39IyEx_6qawtMGysU/edit?usp=sharing"",""สบก!DM54"")"),994907.21)</f>
        <v>994907.21</v>
      </c>
      <c r="O333" s="169">
        <f ca="1">IF(L333&gt;0,N333*100/L333,0)</f>
        <v>77.339822451628947</v>
      </c>
      <c r="P333" s="169">
        <f ca="1">IF(M333&gt;0,N333*100/M333,0)</f>
        <v>74.886133106521342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IFERROR(__xludf.DUMMYFUNCTION("IMPORTRANGE(""https://docs.google.com/spreadsheets/d/1Yj_ptqi66GCucihVvJfMjLAmec39IyEx_6qawtMGysU/edit?usp=sharing"",""สบก!DI54"")"),980410)</f>
        <v>980410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IFERROR(__xludf.DUMMYFUNCTION("IMPORTRANGE(""https://docs.google.com/spreadsheets/d/1Yj_ptqi66GCucihVvJfMjLAmec39IyEx_6qawtMGysU/edit?usp=sharing"",""สบก!DJ54"")"),48900)</f>
        <v>48900</v>
      </c>
      <c r="M337" s="626">
        <f ca="1">L337</f>
        <v>48900</v>
      </c>
      <c r="N337" s="623">
        <f ca="1">IFERROR(__xludf.DUMMYFUNCTION("IMPORTRANGE(""https://docs.google.com/spreadsheets/d/1Yj_ptqi66GCucihVvJfMjLAmec39IyEx_6qawtMGysU/edit?usp=sharing"",""สบก!DN54"")"),48900)</f>
        <v>48900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IFERROR(__xludf.DUMMYFUNCTION("IMPORTRANGE(""https://docs.google.com/spreadsheets/d/1XL5vhW3sbDhbH9Cz0tuDiY8C3ctxq1tqvaCgkFb8cCA/edit?usp=sharing"",""หนองบัวลำภู!J234"")"),355)</f>
        <v>355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IFERROR(__xludf.DUMMYFUNCTION("IMPORTRANGE(""https://docs.google.com/spreadsheets/d/1XL5vhW3sbDhbH9Cz0tuDiY8C3ctxq1tqvaCgkFb8cCA/edit?usp=sharing"",""หนองบัวลำภู!J235"")"),3304.17)</f>
        <v>3304.17</v>
      </c>
      <c r="K340" s="343">
        <f t="shared" ca="1" si="103"/>
        <v>44.650945945945949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IFERROR(__xludf.DUMMYFUNCTION("IMPORTRANGE(""https://docs.google.com/spreadsheets/d/1XL5vhW3sbDhbH9Cz0tuDiY8C3ctxq1tqvaCgkFb8cCA/edit?usp=sharing"",""หนองบัวลำภู!J236"")"),382)</f>
        <v>382</v>
      </c>
      <c r="K341" s="343">
        <f t="shared" ca="1" si="103"/>
        <v>45.476190476190474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IFERROR(__xludf.DUMMYFUNCTION("IMPORTRANGE(""https://docs.google.com/spreadsheets/d/1XL5vhW3sbDhbH9Cz0tuDiY8C3ctxq1tqvaCgkFb8cCA/edit?usp=sharing"",""หนองบัวลำภู!J237"")"),4487.45)</f>
        <v>4487.45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IFERROR(__xludf.DUMMYFUNCTION("IMPORTRANGE(""https://docs.google.com/spreadsheets/d/1XL5vhW3sbDhbH9Cz0tuDiY8C3ctxq1tqvaCgkFb8cCA/edit?usp=sharing"",""หนองบัวลำภู!J240"")"),381)</f>
        <v>381</v>
      </c>
      <c r="K345" s="343">
        <f t="shared" ca="1" si="103"/>
        <v>45.357142857142854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IFERROR(__xludf.DUMMYFUNCTION("IMPORTRANGE(""https://docs.google.com/spreadsheets/d/1XL5vhW3sbDhbH9Cz0tuDiY8C3ctxq1tqvaCgkFb8cCA/edit?usp=sharing"",""หนองบัวลำภู!J241"")"),4484.98)</f>
        <v>4484.9799999999996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IFERROR(__xludf.DUMMYFUNCTION("IMPORTRANGE(""https://docs.google.com/spreadsheets/d/1XL5vhW3sbDhbH9Cz0tuDiY8C3ctxq1tqvaCgkFb8cCA/edit?usp=sharing"",""หนองบัวลำภู!L242"")"),3475336)</f>
        <v>3475336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IFERROR(__xludf.DUMMYFUNCTION("IMPORTRANGE(""https://docs.google.com/spreadsheets/d/1XL5vhW3sbDhbH9Cz0tuDiY8C3ctxq1tqvaCgkFb8cCA/edit?usp=sharing"",""หนองบัวลำภู!M242"")"),2384935.53)</f>
        <v>2384935.5299999998</v>
      </c>
      <c r="O347" s="358">
        <f ca="1">+IF(L347&gt;0,N347*100/L347,0)</f>
        <v>68.62460291609213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IFERROR(__xludf.DUMMYFUNCTION("IMPORTRANGE(""https://docs.google.com/spreadsheets/d/1XL5vhW3sbDhbH9Cz0tuDiY8C3ctxq1tqvaCgkFb8cCA/edit?usp=sharing"",""หนองบัวลำภู!M244"")"),547463.05)</f>
        <v>547463.05000000005</v>
      </c>
      <c r="O349" s="373">
        <f ca="1">+IF(L349&gt;0,N349*100/L349,0)</f>
        <v>88.934508918418416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IFERROR(__xludf.DUMMYFUNCTION("IMPORTRANGE(""https://docs.google.com/spreadsheets/d/1XL5vhW3sbDhbH9Cz0tuDiY8C3ctxq1tqvaCgkFb8cCA/edit?usp=sharing"",""หนองบัวลำภู!M247"")"),547463.05)</f>
        <v>547463.05000000005</v>
      </c>
      <c r="O352" s="165">
        <f t="shared" ca="1" si="105"/>
        <v>88.934508918418416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IFERROR(__xludf.DUMMYFUNCTION("IMPORTRANGE(""https://docs.google.com/spreadsheets/d/1XL5vhW3sbDhbH9Cz0tuDiY8C3ctxq1tqvaCgkFb8cCA/edit?usp=sharing"",""หนองบัวลำภู!M249"")"),547463.05)</f>
        <v>547463.05000000005</v>
      </c>
      <c r="O354" s="169">
        <f t="shared" ca="1" si="105"/>
        <v>88.934508918418416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IFERROR(__xludf.DUMMYFUNCTION("IMPORTRANGE(""https://docs.google.com/spreadsheets/d/1XL5vhW3sbDhbH9Cz0tuDiY8C3ctxq1tqvaCgkFb8cCA/edit?usp=sharing"",""หนองบัวลำภู!M250"")"),90936.33)</f>
        <v>90936.33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IFERROR(__xludf.DUMMYFUNCTION("IMPORTRANGE(""https://docs.google.com/spreadsheets/d/1XL5vhW3sbDhbH9Cz0tuDiY8C3ctxq1tqvaCgkFb8cCA/edit?usp=sharing"",""หนองบัวลำภู!M251"")"),315400)</f>
        <v>315400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IFERROR(__xludf.DUMMYFUNCTION("IMPORTRANGE(""https://docs.google.com/spreadsheets/d/1XL5vhW3sbDhbH9Cz0tuDiY8C3ctxq1tqvaCgkFb8cCA/edit?usp=sharing"",""หนองบัวลำภู!M252"")"),104866.72)</f>
        <v>104866.72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IFERROR(__xludf.DUMMYFUNCTION("IMPORTRANGE(""https://docs.google.com/spreadsheets/d/1XL5vhW3sbDhbH9Cz0tuDiY8C3ctxq1tqvaCgkFb8cCA/edit?usp=sharing"",""หนองบัวลำภู!M253"")"),36260)</f>
        <v>36260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IFERROR(__xludf.DUMMYFUNCTION("IMPORTRANGE(""https://docs.google.com/spreadsheets/d/1XL5vhW3sbDhbH9Cz0tuDiY8C3ctxq1tqvaCgkFb8cCA/edit?usp=sharing"",""หนองบัวลำภู!M275"")"),688524.02)</f>
        <v>688524.02</v>
      </c>
      <c r="O380" s="373">
        <f ca="1">+IF(L380&gt;0,N380*100/L380,0)</f>
        <v>66.943182436899619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IFERROR(__xludf.DUMMYFUNCTION("IMPORTRANGE(""https://docs.google.com/spreadsheets/d/1XL5vhW3sbDhbH9Cz0tuDiY8C3ctxq1tqvaCgkFb8cCA/edit?usp=sharing"",""หนองบัวลำภู!M278"")"),688524.02)</f>
        <v>688524.02</v>
      </c>
      <c r="O383" s="165">
        <f t="shared" ca="1" si="109"/>
        <v>66.943182436899619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IFERROR(__xludf.DUMMYFUNCTION("IMPORTRANGE(""https://docs.google.com/spreadsheets/d/1XL5vhW3sbDhbH9Cz0tuDiY8C3ctxq1tqvaCgkFb8cCA/edit?usp=sharing"",""หนองบัวลำภู!M280"")"),688524.02)</f>
        <v>688524.02</v>
      </c>
      <c r="O385" s="169">
        <f t="shared" ca="1" si="109"/>
        <v>66.943182436899619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IFERROR(__xludf.DUMMYFUNCTION("IMPORTRANGE(""https://docs.google.com/spreadsheets/d/1XL5vhW3sbDhbH9Cz0tuDiY8C3ctxq1tqvaCgkFb8cCA/edit?usp=sharing"",""หนองบัวลำภู!M282"")"),354674)</f>
        <v>354674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IFERROR(__xludf.DUMMYFUNCTION("IMPORTRANGE(""https://docs.google.com/spreadsheets/d/1XL5vhW3sbDhbH9Cz0tuDiY8C3ctxq1tqvaCgkFb8cCA/edit?usp=sharing"",""หนองบัวลำภู!M283"")"),103200.02)</f>
        <v>103200.02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IFERROR(__xludf.DUMMYFUNCTION("IMPORTRANGE(""https://docs.google.com/spreadsheets/d/1XL5vhW3sbDhbH9Cz0tuDiY8C3ctxq1tqvaCgkFb8cCA/edit?usp=sharing"",""หนองบัวลำภู!M284"")"),32650)</f>
        <v>32650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IFERROR(__xludf.DUMMYFUNCTION("IMPORTRANGE(""https://docs.google.com/spreadsheets/d/1XL5vhW3sbDhbH9Cz0tuDiY8C3ctxq1tqvaCgkFb8cCA/edit?usp=sharing"",""หนองบัวลำภู!M296"")"),151433)</f>
        <v>151433</v>
      </c>
      <c r="O401" s="373">
        <f ca="1">+IF(L401&gt;0,N401*100/L401,0)</f>
        <v>94.675211003438577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IFERROR(__xludf.DUMMYFUNCTION("IMPORTRANGE(""https://docs.google.com/spreadsheets/d/1XL5vhW3sbDhbH9Cz0tuDiY8C3ctxq1tqvaCgkFb8cCA/edit?usp=sharing"",""หนองบัวลำภู!M299"")"),151433)</f>
        <v>151433</v>
      </c>
      <c r="O404" s="169">
        <f t="shared" ca="1" si="112"/>
        <v>94.675211003438577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IFERROR(__xludf.DUMMYFUNCTION("IMPORTRANGE(""https://docs.google.com/spreadsheets/d/1XL5vhW3sbDhbH9Cz0tuDiY8C3ctxq1tqvaCgkFb8cCA/edit?usp=sharing"",""หนองบัวลำภู!M301"")"),151433)</f>
        <v>151433</v>
      </c>
      <c r="O406" s="169">
        <f t="shared" ca="1" si="112"/>
        <v>94.675211003438577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IFERROR(__xludf.DUMMYFUNCTION("IMPORTRANGE(""https://docs.google.com/spreadsheets/d/1XL5vhW3sbDhbH9Cz0tuDiY8C3ctxq1tqvaCgkFb8cCA/edit?usp=sharing"",""หนองบัวลำภู!M305"")"),21383)</f>
        <v>21383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IFERROR(__xludf.DUMMYFUNCTION("IMPORTRANGE(""https://docs.google.com/spreadsheets/d/1XL5vhW3sbDhbH9Cz0tuDiY8C3ctxq1tqvaCgkFb8cCA/edit?usp=sharing"",""หนองบัวลำภู!J329"")"),1)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IFERROR(__xludf.DUMMYFUNCTION("IMPORTRANGE(""https://docs.google.com/spreadsheets/d/1XL5vhW3sbDhbH9Cz0tuDiY8C3ctxq1tqvaCgkFb8cCA/edit?usp=sharing"",""หนองบัวลำภู!J349"")"),1)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IFERROR(__xludf.DUMMYFUNCTION("IMPORTRANGE(""https://docs.google.com/spreadsheets/d/1XL5vhW3sbDhbH9Cz0tuDiY8C3ctxq1tqvaCgkFb8cCA/edit?usp=sharing"",""หนองบัวลำภู!L350"")"),747796)</f>
        <v>747796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IFERROR(__xludf.DUMMYFUNCTION("IMPORTRANGE(""https://docs.google.com/spreadsheets/d/1XL5vhW3sbDhbH9Cz0tuDiY8C3ctxq1tqvaCgkFb8cCA/edit?usp=sharing"",""หนองบัวลำภู!M350"")"),295577.06)</f>
        <v>295577.06</v>
      </c>
      <c r="O455" s="373">
        <f t="shared" ref="O455:O459" ca="1" si="116">+IF(L455&gt;0,N455*100/L455,0)</f>
        <v>39.526429667984317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IFERROR(__xludf.DUMMYFUNCTION("IMPORTRANGE(""https://docs.google.com/spreadsheets/d/1XL5vhW3sbDhbH9Cz0tuDiY8C3ctxq1tqvaCgkFb8cCA/edit?usp=sharing"",""หนองบัวลำภู!L352"")"),747796)</f>
        <v>747796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IFERROR(__xludf.DUMMYFUNCTION("IMPORTRANGE(""https://docs.google.com/spreadsheets/d/1XL5vhW3sbDhbH9Cz0tuDiY8C3ctxq1tqvaCgkFb8cCA/edit?usp=sharing"",""หนองบัวลำภู!M352"")"),295577.06)</f>
        <v>295577.06</v>
      </c>
      <c r="O457" s="169">
        <f t="shared" ca="1" si="116"/>
        <v>39.526429667984317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IFERROR(__xludf.DUMMYFUNCTION("IMPORTRANGE(""https://docs.google.com/spreadsheets/d/1XL5vhW3sbDhbH9Cz0tuDiY8C3ctxq1tqvaCgkFb8cCA/edit?usp=sharing"",""หนองบัวลำภู!L354"")"),747796)</f>
        <v>747796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IFERROR(__xludf.DUMMYFUNCTION("IMPORTRANGE(""https://docs.google.com/spreadsheets/d/1XL5vhW3sbDhbH9Cz0tuDiY8C3ctxq1tqvaCgkFb8cCA/edit?usp=sharing"",""หนองบัวลำภู!M354"")"),295577.06)</f>
        <v>295577.06</v>
      </c>
      <c r="O459" s="169">
        <f t="shared" ca="1" si="116"/>
        <v>39.526429667984317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IFERROR(__xludf.DUMMYFUNCTION("IMPORTRANGE(""https://docs.google.com/spreadsheets/d/1XL5vhW3sbDhbH9Cz0tuDiY8C3ctxq1tqvaCgkFb8cCA/edit?usp=sharing"",""หนองบัวลำภู!M357"")"),61600.06)</f>
        <v>61600.06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IFERROR(__xludf.DUMMYFUNCTION("IMPORTRANGE(""https://docs.google.com/spreadsheets/d/1XL5vhW3sbDhbH9Cz0tuDiY8C3ctxq1tqvaCgkFb8cCA/edit?usp=sharing"",""หนองบัวลำภู!M358"")"),233977)</f>
        <v>233977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9">
        <f t="shared" ref="K464:K515" ca="1" si="117">IF(I464&gt;0,J464*100/I464,0)</f>
        <v>100.00039639975749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IFERROR(__xludf.DUMMYFUNCTION("IMPORTRANGE(""https://docs.google.com/spreadsheets/d/1XL5vhW3sbDhbH9Cz0tuDiY8C3ctxq1tqvaCgkFb8cCA/edit?usp=sharing"",""หนองบัวลำภู!I412"")"),0)</f>
        <v>0</v>
      </c>
      <c r="J517" s="285">
        <f ca="1">IFERROR(__xludf.DUMMYFUNCTION("IMPORTRANGE(""https://docs.google.com/spreadsheets/d/1XL5vhW3sbDhbH9Cz0tuDiY8C3ctxq1tqvaCgkFb8cCA/edit?usp=sharing"",""หนองบัวลำภู!J412"")"),0)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IFERROR(__xludf.DUMMYFUNCTION("IMPORTRANGE(""https://docs.google.com/spreadsheets/d/1XL5vhW3sbDhbH9Cz0tuDiY8C3ctxq1tqvaCgkFb8cCA/edit?usp=sharing"",""หนองบัวลำภู!I413"")"),0)</f>
        <v>0</v>
      </c>
      <c r="J518" s="285">
        <f ca="1">IFERROR(__xludf.DUMMYFUNCTION("IMPORTRANGE(""https://docs.google.com/spreadsheets/d/1XL5vhW3sbDhbH9Cz0tuDiY8C3ctxq1tqvaCgkFb8cCA/edit?usp=sharing"",""หนองบัวลำภู!J413"")"),0)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IFERROR(__xludf.DUMMYFUNCTION("IMPORTRANGE(""https://docs.google.com/spreadsheets/d/1XL5vhW3sbDhbH9Cz0tuDiY8C3ctxq1tqvaCgkFb8cCA/edit?usp=sharing"",""หนองบัวลำภู!J418"")"),765)</f>
        <v>765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IFERROR(__xludf.DUMMYFUNCTION("IMPORTRANGE(""https://docs.google.com/spreadsheets/d/1XL5vhW3sbDhbH9Cz0tuDiY8C3ctxq1tqvaCgkFb8cCA/edit?usp=sharing"",""หนองบัวลำภู!J419"")"),46)</f>
        <v>46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IFERROR(__xludf.DUMMYFUNCTION("IMPORTRANGE(""https://docs.google.com/spreadsheets/d/1XL5vhW3sbDhbH9Cz0tuDiY8C3ctxq1tqvaCgkFb8cCA/edit?usp=sharing"",""หนองบัวลำภู!I420"")"),765)</f>
        <v>765</v>
      </c>
      <c r="J525" s="285">
        <f ca="1">IFERROR(__xludf.DUMMYFUNCTION("IMPORTRANGE(""https://docs.google.com/spreadsheets/d/1XL5vhW3sbDhbH9Cz0tuDiY8C3ctxq1tqvaCgkFb8cCA/edit?usp=sharing"",""หนองบัวลำภู!J420"")"),0)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IFERROR(__xludf.DUMMYFUNCTION("IMPORTRANGE(""https://docs.google.com/spreadsheets/d/1XL5vhW3sbDhbH9Cz0tuDiY8C3ctxq1tqvaCgkFb8cCA/edit?usp=sharing"",""หนองบัวลำภู!I421"")"),46)</f>
        <v>46</v>
      </c>
      <c r="J526" s="285">
        <f ca="1">IFERROR(__xludf.DUMMYFUNCTION("IMPORTRANGE(""https://docs.google.com/spreadsheets/d/1XL5vhW3sbDhbH9Cz0tuDiY8C3ctxq1tqvaCgkFb8cCA/edit?usp=sharing"",""หนองบัวลำภู!J421"")"),0)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87.489807804309848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87.489807804309848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IFERROR(__xludf.DUMMYFUNCTION("IMPORTRANGE(""https://docs.google.com/spreadsheets/d/1XL5vhW3sbDhbH9Cz0tuDiY8C3ctxq1tqvaCgkFb8cCA/edit?usp=sharing"",""หนองบัวลำภู!J446"")"),4306)</f>
        <v>4306</v>
      </c>
      <c r="K551" s="411">
        <f ca="1">IF(I551&gt;0,J551*100/I551,0)</f>
        <v>86.12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IFERROR(__xludf.DUMMYFUNCTION("IMPORTRANGE(""https://docs.google.com/spreadsheets/d/1XL5vhW3sbDhbH9Cz0tuDiY8C3ctxq1tqvaCgkFb8cCA/edit?usp=sharing"",""หนองบัวลำภู!M446"")"),278131.87)</f>
        <v>278131.87</v>
      </c>
      <c r="O551" s="412">
        <f t="shared" ref="O551:O555" ca="1" si="120">+IF(L551&gt;0,N551*100/L551,0)</f>
        <v>89.719958064516135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IFERROR(__xludf.DUMMYFUNCTION("IMPORTRANGE(""https://docs.google.com/spreadsheets/d/1XL5vhW3sbDhbH9Cz0tuDiY8C3ctxq1tqvaCgkFb8cCA/edit?usp=sharing"",""หนองบัวลำภู!M448"")"),278131.87)</f>
        <v>278131.87</v>
      </c>
      <c r="O553" s="169">
        <f t="shared" ca="1" si="120"/>
        <v>89.719958064516135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IFERROR(__xludf.DUMMYFUNCTION("IMPORTRANGE(""https://docs.google.com/spreadsheets/d/1XL5vhW3sbDhbH9Cz0tuDiY8C3ctxq1tqvaCgkFb8cCA/edit?usp=sharing"",""หนองบัวลำภู!M450"")"),278131.87)</f>
        <v>278131.87</v>
      </c>
      <c r="O555" s="169">
        <f t="shared" ca="1" si="120"/>
        <v>89.719958064516135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IFERROR(__xludf.DUMMYFUNCTION("IMPORTRANGE(""https://docs.google.com/spreadsheets/d/1XL5vhW3sbDhbH9Cz0tuDiY8C3ctxq1tqvaCgkFb8cCA/edit?usp=sharing"",""หนองบัวลำภู!M453"")"),91800)</f>
        <v>91800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IFERROR(__xludf.DUMMYFUNCTION("IMPORTRANGE(""https://docs.google.com/spreadsheets/d/1XL5vhW3sbDhbH9Cz0tuDiY8C3ctxq1tqvaCgkFb8cCA/edit?usp=sharing"",""หนองบัวลำภู!M454"")"),186331.87)</f>
        <v>186331.87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IFERROR(__xludf.DUMMYFUNCTION("IMPORTRANGE(""https://docs.google.com/spreadsheets/d/1XL5vhW3sbDhbH9Cz0tuDiY8C3ctxq1tqvaCgkFb8cCA/edit?usp=sharing"",""หนองบัวลำภู!J455"")"),4306)</f>
        <v>4306</v>
      </c>
      <c r="K560" s="225">
        <f t="shared" ref="K560:K561" ca="1" si="121">IF(I560&gt;0,J560*100/I560,0)</f>
        <v>86.12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IFERROR(__xludf.DUMMYFUNCTION("IMPORTRANGE(""https://docs.google.com/spreadsheets/d/1XL5vhW3sbDhbH9Cz0tuDiY8C3ctxq1tqvaCgkFb8cCA/edit?usp=sharing"",""หนองบัวลำภู!J456"")"),268)</f>
        <v>268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IFERROR(__xludf.DUMMYFUNCTION("IMPORTRANGE(""https://docs.google.com/spreadsheets/d/1XL5vhW3sbDhbH9Cz0tuDiY8C3ctxq1tqvaCgkFb8cCA/edit?usp=sharing"",""หนองบัวลำภู!J459"")"),5860)</f>
        <v>5860</v>
      </c>
      <c r="K564" s="372">
        <f ca="1">IF(I564&gt;0,J564*100/I564,0)</f>
        <v>154.21052631578948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IFERROR(__xludf.DUMMYFUNCTION("IMPORTRANGE(""https://docs.google.com/spreadsheets/d/1XL5vhW3sbDhbH9Cz0tuDiY8C3ctxq1tqvaCgkFb8cCA/edit?usp=sharing"",""หนองบัวลำภู!M459"")"),112153.17)</f>
        <v>112153.17</v>
      </c>
      <c r="O564" s="373">
        <f t="shared" ref="O564:O568" ca="1" si="122">+IF(L564&gt;0,N564*100/L564,0)</f>
        <v>73.39867146596859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IFERROR(__xludf.DUMMYFUNCTION("IMPORTRANGE(""https://docs.google.com/spreadsheets/d/1XL5vhW3sbDhbH9Cz0tuDiY8C3ctxq1tqvaCgkFb8cCA/edit?usp=sharing"",""หนองบัวลำภู!M461"")"),112153.17)</f>
        <v>112153.17</v>
      </c>
      <c r="O566" s="169">
        <f t="shared" ca="1" si="122"/>
        <v>73.39867146596859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IFERROR(__xludf.DUMMYFUNCTION("IMPORTRANGE(""https://docs.google.com/spreadsheets/d/1XL5vhW3sbDhbH9Cz0tuDiY8C3ctxq1tqvaCgkFb8cCA/edit?usp=sharing"",""หนองบัวลำภู!M463"")"),112153.17)</f>
        <v>112153.17</v>
      </c>
      <c r="O568" s="169">
        <f t="shared" ca="1" si="122"/>
        <v>73.39867146596859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IFERROR(__xludf.DUMMYFUNCTION("IMPORTRANGE(""https://docs.google.com/spreadsheets/d/1XL5vhW3sbDhbH9Cz0tuDiY8C3ctxq1tqvaCgkFb8cCA/edit?usp=sharing"",""หนองบัวลำภู!M466"")"),84699.97)</f>
        <v>84699.97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IFERROR(__xludf.DUMMYFUNCTION("IMPORTRANGE(""https://docs.google.com/spreadsheets/d/1XL5vhW3sbDhbH9Cz0tuDiY8C3ctxq1tqvaCgkFb8cCA/edit?usp=sharing"",""หนองบัวลำภู!M467"")"),27453.2)</f>
        <v>27453.200000000001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IFERROR(__xludf.DUMMYFUNCTION("IMPORTRANGE(""https://docs.google.com/spreadsheets/d/1XL5vhW3sbDhbH9Cz0tuDiY8C3ctxq1tqvaCgkFb8cCA/edit?usp=sharing"",""หนองบัวลำภู!J468"")"),5860)</f>
        <v>5860</v>
      </c>
      <c r="K573" s="202">
        <f ca="1">IF(I573&gt;0,J573*100/I573,0)</f>
        <v>154.21052631578948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IFERROR(__xludf.DUMMYFUNCTION("IMPORTRANGE(""https://docs.google.com/spreadsheets/d/1XL5vhW3sbDhbH9Cz0tuDiY8C3ctxq1tqvaCgkFb8cCA/edit?usp=sharing"",""หนองบัวลำภู!J471"")"),435)</f>
        <v>435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IFERROR(__xludf.DUMMYFUNCTION("IMPORTRANGE(""https://docs.google.com/spreadsheets/d/1XL5vhW3sbDhbH9Cz0tuDiY8C3ctxq1tqvaCgkFb8cCA/edit?usp=sharing"",""หนองบัวลำภู!J472"")"),5425)</f>
        <v>5425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IFERROR(__xludf.DUMMYFUNCTION("IMPORTRANGE(""https://docs.google.com/spreadsheets/d/1XL5vhW3sbDhbH9Cz0tuDiY8C3ctxq1tqvaCgkFb8cCA/edit?usp=sharing"",""หนองบัวลำภู!J475"")"),90)</f>
        <v>90</v>
      </c>
      <c r="K580" s="372">
        <f ca="1">IF(I580&gt;0,J580*100/I580,0)</f>
        <v>60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IFERROR(__xludf.DUMMYFUNCTION("IMPORTRANGE(""https://docs.google.com/spreadsheets/d/1XL5vhW3sbDhbH9Cz0tuDiY8C3ctxq1tqvaCgkFb8cCA/edit?usp=sharing"",""หนองบัวลำภู!M475"")"),200530.36)</f>
        <v>200530.36</v>
      </c>
      <c r="O580" s="373">
        <f t="shared" ref="O580:O584" ca="1" si="124">+IF(L580&gt;0,N580*100/L580,0)</f>
        <v>61.314893747133468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IFERROR(__xludf.DUMMYFUNCTION("IMPORTRANGE(""https://docs.google.com/spreadsheets/d/1XL5vhW3sbDhbH9Cz0tuDiY8C3ctxq1tqvaCgkFb8cCA/edit?usp=sharing"",""หนองบัวลำภู!M477"")"),200530.36)</f>
        <v>200530.36</v>
      </c>
      <c r="O582" s="169">
        <f t="shared" ca="1" si="124"/>
        <v>61.314893747133468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IFERROR(__xludf.DUMMYFUNCTION("IMPORTRANGE(""https://docs.google.com/spreadsheets/d/1XL5vhW3sbDhbH9Cz0tuDiY8C3ctxq1tqvaCgkFb8cCA/edit?usp=sharing"",""หนองบัวลำภู!M479"")"),200530.36)</f>
        <v>200530.36</v>
      </c>
      <c r="O584" s="169">
        <f t="shared" ca="1" si="124"/>
        <v>61.314893747133468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IFERROR(__xludf.DUMMYFUNCTION("IMPORTRANGE(""https://docs.google.com/spreadsheets/d/1XL5vhW3sbDhbH9Cz0tuDiY8C3ctxq1tqvaCgkFb8cCA/edit?usp=sharing"",""หนองบัวลำภู!M482"")"),101933.36)</f>
        <v>101933.36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IFERROR(__xludf.DUMMYFUNCTION("IMPORTRANGE(""https://docs.google.com/spreadsheets/d/1XL5vhW3sbDhbH9Cz0tuDiY8C3ctxq1tqvaCgkFb8cCA/edit?usp=sharing"",""หนองบัวลำภู!M483"")"),98597)</f>
        <v>98597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IFERROR(__xludf.DUMMYFUNCTION("IMPORTRANGE(""https://docs.google.com/spreadsheets/d/1XL5vhW3sbDhbH9Cz0tuDiY8C3ctxq1tqvaCgkFb8cCA/edit?usp=sharing"",""หนองบัวลำภู!J484"")"),262)</f>
        <v>262</v>
      </c>
      <c r="K589" s="163">
        <f t="shared" ref="K589:K596" ca="1" si="125">IF(I589&gt;0,J589*100/I589,0)</f>
        <v>174.66666666666666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IFERROR(__xludf.DUMMYFUNCTION("IMPORTRANGE(""https://docs.google.com/spreadsheets/d/1XL5vhW3sbDhbH9Cz0tuDiY8C3ctxq1tqvaCgkFb8cCA/edit?usp=sharing"",""หนองบัวลำภู!J485"")"),181.15)</f>
        <v>181.15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IFERROR(__xludf.DUMMYFUNCTION("IMPORTRANGE(""https://docs.google.com/spreadsheets/d/1XL5vhW3sbDhbH9Cz0tuDiY8C3ctxq1tqvaCgkFb8cCA/edit?usp=sharing"",""หนองบัวลำภู!J486"")"),171)</f>
        <v>171</v>
      </c>
      <c r="K591" s="163">
        <f t="shared" ca="1" si="125"/>
        <v>114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IFERROR(__xludf.DUMMYFUNCTION("IMPORTRANGE(""https://docs.google.com/spreadsheets/d/1XL5vhW3sbDhbH9Cz0tuDiY8C3ctxq1tqvaCgkFb8cCA/edit?usp=sharing"",""หนองบัวลำภู!J487"")"),107.9)</f>
        <v>107.9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IFERROR(__xludf.DUMMYFUNCTION("IMPORTRANGE(""https://docs.google.com/spreadsheets/d/1XL5vhW3sbDhbH9Cz0tuDiY8C3ctxq1tqvaCgkFb8cCA/edit?usp=sharing"",""หนองบัวลำภู!J488"")"),90)</f>
        <v>90</v>
      </c>
      <c r="K593" s="163">
        <f t="shared" ca="1" si="125"/>
        <v>60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IFERROR(__xludf.DUMMYFUNCTION("IMPORTRANGE(""https://docs.google.com/spreadsheets/d/1XL5vhW3sbDhbH9Cz0tuDiY8C3ctxq1tqvaCgkFb8cCA/edit?usp=sharing"",""หนองบัวลำภู!J489"")"),48.61)</f>
        <v>48.61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IFERROR(__xludf.DUMMYFUNCTION("IMPORTRANGE(""https://docs.google.com/spreadsheets/d/1XL5vhW3sbDhbH9Cz0tuDiY8C3ctxq1tqvaCgkFb8cCA/edit?usp=sharing"",""หนองบัวลำภู!J490"")"),90)</f>
        <v>90</v>
      </c>
      <c r="K595" s="163">
        <f t="shared" ca="1" si="125"/>
        <v>60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IFERROR(__xludf.DUMMYFUNCTION("IMPORTRANGE(""https://docs.google.com/spreadsheets/d/1XL5vhW3sbDhbH9Cz0tuDiY8C3ctxq1tqvaCgkFb8cCA/edit?usp=sharing"",""หนองบัวลำภู!J491"")"),48.61)</f>
        <v>48.61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8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26.592920353982301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26.592920353982301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26.592920353982301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IFERROR(__xludf.DUMMYFUNCTION("IMPORTRANGE(""https://docs.google.com/spreadsheets/d/1XL5vhW3sbDhbH9Cz0tuDiY8C3ctxq1tqvaCgkFb8cCA/edit?usp=sharing"",""หนองบัวลำภู!J166"")"),0)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IFERROR(__xludf.DUMMYFUNCTION("IMPORTRANGE(""https://docs.google.com/spreadsheets/d/1XL5vhW3sbDhbH9Cz0tuDiY8C3ctxq1tqvaCgkFb8cCA/edit?usp=sharing"",""หนองบัวลำภู!J166"")"),0)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2">
        <f ca="1">IFERROR(__xludf.DUMMYFUNCTION("IMPORTRANGE(""https://docs.google.com/spreadsheets/d/1XL5vhW3sbDhbH9Cz0tuDiY8C3ctxq1tqvaCgkFb8cCA/edit?usp=sharing"",""หนองบัวลำภู!J523"")"),3679371.69)</f>
        <v>3679371.69</v>
      </c>
      <c r="K628" s="343">
        <f t="shared" ref="K628:K635" ca="1" si="129">IF(I628&gt;0,J628*100/I628,0)</f>
        <v>94.232567283989582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IFERROR(__xludf.DUMMYFUNCTION("IMPORTRANGE(""https://docs.google.com/spreadsheets/d/1XL5vhW3sbDhbH9Cz0tuDiY8C3ctxq1tqvaCgkFb8cCA/edit?usp=sharing"",""หนองบัวลำภู!I524"")"),256)</f>
        <v>256</v>
      </c>
      <c r="J629" s="342">
        <f ca="1">IFERROR(__xludf.DUMMYFUNCTION("IMPORTRANGE(""https://docs.google.com/spreadsheets/d/1XL5vhW3sbDhbH9Cz0tuDiY8C3ctxq1tqvaCgkFb8cCA/edit?usp=sharing"",""หนองบัวลำภู!J524"")"),252)</f>
        <v>252</v>
      </c>
      <c r="K629" s="343">
        <f t="shared" ca="1" si="129"/>
        <v>98.4375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2">
        <f ca="1">IFERROR(__xludf.DUMMYFUNCTION("IMPORTRANGE(""https://docs.google.com/spreadsheets/d/1XL5vhW3sbDhbH9Cz0tuDiY8C3ctxq1tqvaCgkFb8cCA/edit?usp=sharing"",""หนองบัวลำภู!J525"")"),802437.76)</f>
        <v>802437.76</v>
      </c>
      <c r="K630" s="343">
        <f t="shared" ca="1" si="129"/>
        <v>27.858809573051648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IFERROR(__xludf.DUMMYFUNCTION("IMPORTRANGE(""https://docs.google.com/spreadsheets/d/1XL5vhW3sbDhbH9Cz0tuDiY8C3ctxq1tqvaCgkFb8cCA/edit?usp=sharing"",""หนองบัวลำภู!I526"")"),132)</f>
        <v>132</v>
      </c>
      <c r="J631" s="342">
        <f ca="1">IFERROR(__xludf.DUMMYFUNCTION("IMPORTRANGE(""https://docs.google.com/spreadsheets/d/1XL5vhW3sbDhbH9Cz0tuDiY8C3ctxq1tqvaCgkFb8cCA/edit?usp=sharing"",""หนองบัวลำภู!J526"")"),110)</f>
        <v>110</v>
      </c>
      <c r="K631" s="343">
        <f t="shared" ca="1" si="129"/>
        <v>83.333333333333329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IFERROR(__xludf.DUMMYFUNCTION("IMPORTRANGE(""https://docs.google.com/spreadsheets/d/1XL5vhW3sbDhbH9Cz0tuDiY8C3ctxq1tqvaCgkFb8cCA/edit?usp=sharing"",""หนองบัวลำภู!I527"")"),0)</f>
        <v>0</v>
      </c>
      <c r="J632" s="342">
        <f ca="1">IFERROR(__xludf.DUMMYFUNCTION("IMPORTRANGE(""https://docs.google.com/spreadsheets/d/1XL5vhW3sbDhbH9Cz0tuDiY8C3ctxq1tqvaCgkFb8cCA/edit?usp=sharing"",""หนองบัวลำภู!J527"")"),0)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IFERROR(__xludf.DUMMYFUNCTION("IMPORTRANGE(""https://docs.google.com/spreadsheets/d/1XL5vhW3sbDhbH9Cz0tuDiY8C3ctxq1tqvaCgkFb8cCA/edit?usp=sharing"",""หนองบัวลำภู!I528"")"),0)</f>
        <v>0</v>
      </c>
      <c r="J633" s="342">
        <f ca="1">IFERROR(__xludf.DUMMYFUNCTION("IMPORTRANGE(""https://docs.google.com/spreadsheets/d/1XL5vhW3sbDhbH9Cz0tuDiY8C3ctxq1tqvaCgkFb8cCA/edit?usp=sharing"",""หนองบัวลำภู!J528"")"),0)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2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IFERROR(__xludf.DUMMYFUNCTION("IMPORTRANGE(""https://docs.google.com/spreadsheets/d/1XL5vhW3sbDhbH9Cz0tuDiY8C3ctxq1tqvaCgkFb8cCA/edit?usp=sharing"",""หนองบัวลำภู!I530"")"),67)</f>
        <v>67</v>
      </c>
      <c r="J635" s="505">
        <f ca="1">IFERROR(__xludf.DUMMYFUNCTION("IMPORTRANGE(""https://docs.google.com/spreadsheets/d/1XL5vhW3sbDhbH9Cz0tuDiY8C3ctxq1tqvaCgkFb8cCA/edit?usp=sharing"",""หนองบัวลำภู!J530"")"),56)</f>
        <v>56</v>
      </c>
      <c r="K635" s="487">
        <f t="shared" ca="1" si="129"/>
        <v>83.582089552238813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5720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5720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5720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IFERROR(__xludf.DUMMYFUNCTION("IMPORTRANGE(""https://docs.google.com/spreadsheets/d/1XL5vhW3sbDhbH9Cz0tuDiY8C3ctxq1tqvaCgkFb8cCA/edit#gid=346597447"",""หนองบัวลำภู!J541"")"),0)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IFERROR(__xludf.DUMMYFUNCTION("IMPORTRANGE(""https://docs.google.com/spreadsheets/d/1XL5vhW3sbDhbH9Cz0tuDiY8C3ctxq1tqvaCgkFb8cCA/edit#gid=346597447"",""หนองบัวลำภู!J542"")"),1)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IFERROR(__xludf.DUMMYFUNCTION("IMPORTRANGE(""https://docs.google.com/spreadsheets/d/1XL5vhW3sbDhbH9Cz0tuDiY8C3ctxq1tqvaCgkFb8cCA/edit#gid=346597447"",""หนองบัวลำภู!I543"")"),55)</f>
        <v>55</v>
      </c>
      <c r="J648" s="586">
        <f ca="1">IFERROR(__xludf.DUMMYFUNCTION("IMPORTRANGE(""https://docs.google.com/spreadsheets/d/1XL5vhW3sbDhbH9Cz0tuDiY8C3ctxq1tqvaCgkFb8cCA/edit#gid=346597447"",""หนองบัวลำภู!J543"")"),0)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1"/>
      <c r="N648" s="588">
        <f ca="1">IFERROR(__xludf.DUMMYFUNCTION("IMPORTRANGE(""https://docs.google.com/spreadsheets/d/1XL5vhW3sbDhbH9Cz0tuDiY8C3ctxq1tqvaCgkFb8cCA/edit#gid=346597447"",""หนองบัวลำภู!M543"")"),0)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IFERROR(__xludf.DUMMYFUNCTION("IMPORTRANGE(""https://docs.google.com/spreadsheets/d/1XL5vhW3sbDhbH9Cz0tuDiY8C3ctxq1tqvaCgkFb8cCA/edit#gid=346597447"",""หนองบัวลำภู!I544"")"),11)</f>
        <v>11</v>
      </c>
      <c r="J649" s="586">
        <f ca="1">IFERROR(__xludf.DUMMYFUNCTION("IMPORTRANGE(""https://docs.google.com/spreadsheets/d/1XL5vhW3sbDhbH9Cz0tuDiY8C3ctxq1tqvaCgkFb8cCA/edit#gid=346597447"",""หนองบัวลำภู!J544"")"),0)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1"/>
      <c r="N649" s="588">
        <f ca="1">IFERROR(__xludf.DUMMYFUNCTION("IMPORTRANGE(""https://docs.google.com/spreadsheets/d/1XL5vhW3sbDhbH9Cz0tuDiY8C3ctxq1tqvaCgkFb8cCA/edit#gid=346597447"",""หนองบัวลำภู!M544"")"),0)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IFERROR(__xludf.DUMMYFUNCTION("IMPORTRANGE(""https://docs.google.com/spreadsheets/d/1XL5vhW3sbDhbH9Cz0tuDiY8C3ctxq1tqvaCgkFb8cCA/edit#gid=346597447"",""หนองบัวลำภู!I545"")"),0)</f>
        <v>0</v>
      </c>
      <c r="J650" s="586">
        <f ca="1">IFERROR(__xludf.DUMMYFUNCTION("IMPORTRANGE(""https://docs.google.com/spreadsheets/d/1XL5vhW3sbDhbH9Cz0tuDiY8C3ctxq1tqvaCgkFb8cCA/edit#gid=346597447"",""หนองบัวลำภู!J545"")"),0)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IFERROR(__xludf.DUMMYFUNCTION("IMPORTRANGE(""https://docs.google.com/spreadsheets/d/1XL5vhW3sbDhbH9Cz0tuDiY8C3ctxq1tqvaCgkFb8cCA/edit#gid=346597447"",""หนองบัวลำภู!L545"")"),0)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IFERROR(__xludf.DUMMYFUNCTION("IMPORTRANGE(""https://docs.google.com/spreadsheets/d/1XL5vhW3sbDhbH9Cz0tuDiY8C3ctxq1tqvaCgkFb8cCA/edit#gid=346597447"",""หนองบัวลำภู!M545"")"),0)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IFERROR(__xludf.DUMMYFUNCTION("IMPORTRANGE(""https://docs.google.com/spreadsheets/d/1XL5vhW3sbDhbH9Cz0tuDiY8C3ctxq1tqvaCgkFb8cCA/edit#gid=346597447"",""หนองบัวลำภู!I546"")"),0)</f>
        <v>0</v>
      </c>
      <c r="J651" s="586">
        <f ca="1">J657+J660</f>
        <v>56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IFERROR(__xludf.DUMMYFUNCTION("IMPORTRANGE(""https://docs.google.com/spreadsheets/d/1XL5vhW3sbDhbH9Cz0tuDiY8C3ctxq1tqvaCgkFb8cCA/edit#gid=346597447"",""หนองบัวลำภู!L546"")"),0)</f>
        <v>0</v>
      </c>
      <c r="M651" s="571"/>
      <c r="N651" s="588">
        <f ca="1">IFERROR(__xludf.DUMMYFUNCTION("IMPORTRANGE(""https://docs.google.com/spreadsheets/d/1XL5vhW3sbDhbH9Cz0tuDiY8C3ctxq1tqvaCgkFb8cCA/edit#gid=346597447"",""หนองบัวลำภู!M546"")"),0)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IFERROR(__xludf.DUMMYFUNCTION("IMPORTRANGE(""https://docs.google.com/spreadsheets/d/1XL5vhW3sbDhbH9Cz0tuDiY8C3ctxq1tqvaCgkFb8cCA/edit#gid=346597447"",""หนองบัวลำภู!J547"")"),3)</f>
        <v>3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IFERROR(__xludf.DUMMYFUNCTION("IMPORTRANGE(""https://docs.google.com/spreadsheets/d/1XL5vhW3sbDhbH9Cz0tuDiY8C3ctxq1tqvaCgkFb8cCA/edit#gid=346597447"",""หนองบัวลำภู!J548"")"),56)</f>
        <v>56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IFERROR(__xludf.DUMMYFUNCTION("IMPORTRANGE(""https://docs.google.com/spreadsheets/d/1XL5vhW3sbDhbH9Cz0tuDiY8C3ctxq1tqvaCgkFb8cCA/edit#gid=346597447"",""หนองบัวลำภู!J550"")"),0)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IFERROR(__xludf.DUMMYFUNCTION("IMPORTRANGE(""https://docs.google.com/spreadsheets/d/1XL5vhW3sbDhbH9Cz0tuDiY8C3ctxq1tqvaCgkFb8cCA/edit#gid=346597447"",""หนองบัวลำภู!J551"")"),10)</f>
        <v>10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IFERROR(__xludf.DUMMYFUNCTION("IMPORTRANGE(""https://docs.google.com/spreadsheets/d/1XL5vhW3sbDhbH9Cz0tuDiY8C3ctxq1tqvaCgkFb8cCA/edit#gid=346597447"",""หนองบัวลำภู!J552"")"),56)</f>
        <v>56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IFERROR(__xludf.DUMMYFUNCTION("IMPORTRANGE(""https://docs.google.com/spreadsheets/d/1XL5vhW3sbDhbH9Cz0tuDiY8C3ctxq1tqvaCgkFb8cCA/edit#gid=346597447"",""หนองบัวลำภู!J553"")"),0)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IFERROR(__xludf.DUMMYFUNCTION("IMPORTRANGE(""https://docs.google.com/spreadsheets/d/1XL5vhW3sbDhbH9Cz0tuDiY8C3ctxq1tqvaCgkFb8cCA/edit#gid=346597447"",""หนองบัวลำภู!J554"")"),0)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IFERROR(__xludf.DUMMYFUNCTION("IMPORTRANGE(""https://docs.google.com/spreadsheets/d/1XL5vhW3sbDhbH9Cz0tuDiY8C3ctxq1tqvaCgkFb8cCA/edit#gid=346597447"",""หนองบัวลำภู!J555"")"),0)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IFERROR(__xludf.DUMMYFUNCTION("IMPORTRANGE(""https://docs.google.com/spreadsheets/d/1XL5vhW3sbDhbH9Cz0tuDiY8C3ctxq1tqvaCgkFb8cCA/edit#gid=346597447"",""หนองบัวลำภู!J556"")"),0)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IFERROR(__xludf.DUMMYFUNCTION("IMPORTRANGE(""https://docs.google.com/spreadsheets/d/1XL5vhW3sbDhbH9Cz0tuDiY8C3ctxq1tqvaCgkFb8cCA/edit#gid=346597447"",""หนองบัวลำภู!L556"")"),0)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IFERROR(__xludf.DUMMYFUNCTION("IMPORTRANGE(""https://docs.google.com/spreadsheets/d/1XL5vhW3sbDhbH9Cz0tuDiY8C3ctxq1tqvaCgkFb8cCA/edit#gid=346597447"",""หนองบัวลำภู!M556"")"),0)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IFERROR(__xludf.DUMMYFUNCTION("IMPORTRANGE(""https://docs.google.com/spreadsheets/d/1XL5vhW3sbDhbH9Cz0tuDiY8C3ctxq1tqvaCgkFb8cCA/edit#gid=346597447"",""หนองบัวลำภู!J557"")"),0)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IFERROR(__xludf.DUMMYFUNCTION("IMPORTRANGE(""https://docs.google.com/spreadsheets/d/1XL5vhW3sbDhbH9Cz0tuDiY8C3ctxq1tqvaCgkFb8cCA/edit#gid=346597447"",""หนองบัวลำภู!I558"")"),0)</f>
        <v>0</v>
      </c>
      <c r="J663" s="586">
        <f ca="1">IFERROR(__xludf.DUMMYFUNCTION("IMPORTRANGE(""https://docs.google.com/spreadsheets/d/1XL5vhW3sbDhbH9Cz0tuDiY8C3ctxq1tqvaCgkFb8cCA/edit#gid=346597447"",""หนองบัวลำภู!J558"")"),0)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IFERROR(__xludf.DUMMYFUNCTION("IMPORTRANGE(""https://docs.google.com/spreadsheets/d/1XL5vhW3sbDhbH9Cz0tuDiY8C3ctxq1tqvaCgkFb8cCA/edit#gid=346597447"",""หนองบัวลำภู!I560"")"),0)</f>
        <v>0</v>
      </c>
      <c r="J665" s="586">
        <f ca="1">IFERROR(__xludf.DUMMYFUNCTION("IMPORTRANGE(""https://docs.google.com/spreadsheets/d/1XL5vhW3sbDhbH9Cz0tuDiY8C3ctxq1tqvaCgkFb8cCA/edit#gid=346597447"",""หนองบัวลำภู!J560"")"),0)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IFERROR(__xludf.DUMMYFUNCTION("IMPORTRANGE(""https://docs.google.com/spreadsheets/d/1XL5vhW3sbDhbH9Cz0tuDiY8C3ctxq1tqvaCgkFb8cCA/edit#gid=346597447"",""หนองบัวลำภู!L560"")"),0)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IFERROR(__xludf.DUMMYFUNCTION("IMPORTRANGE(""https://docs.google.com/spreadsheets/d/1XL5vhW3sbDhbH9Cz0tuDiY8C3ctxq1tqvaCgkFb8cCA/edit#gid=346597447"",""หนองบัวลำภู!M560"")"),0)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IFERROR(__xludf.DUMMYFUNCTION("IMPORTRANGE(""https://docs.google.com/spreadsheets/d/1XL5vhW3sbDhbH9Cz0tuDiY8C3ctxq1tqvaCgkFb8cCA/edit#gid=346597447"",""หนองบัวลำภู!J561"")"),0)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IFERROR(__xludf.DUMMYFUNCTION("IMPORTRANGE(""https://docs.google.com/spreadsheets/d/1XL5vhW3sbDhbH9Cz0tuDiY8C3ctxq1tqvaCgkFb8cCA/edit#gid=346597447"",""หนองบัวลำภู!J562"")"),0)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IFERROR(__xludf.DUMMYFUNCTION("IMPORTRANGE(""https://docs.google.com/spreadsheets/d/1XL5vhW3sbDhbH9Cz0tuDiY8C3ctxq1tqvaCgkFb8cCA/edit#gid=346597447"",""หนองบัวลำภู!I563"")"),0)</f>
        <v>0</v>
      </c>
      <c r="J668" s="586">
        <f ca="1">IFERROR(__xludf.DUMMYFUNCTION("IMPORTRANGE(""https://docs.google.com/spreadsheets/d/1XL5vhW3sbDhbH9Cz0tuDiY8C3ctxq1tqvaCgkFb8cCA/edit#gid=346597447"",""หนองบัวลำภู!J563"")"),0)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IFERROR(__xludf.DUMMYFUNCTION("IMPORTRANGE(""https://docs.google.com/spreadsheets/d/1XL5vhW3sbDhbH9Cz0tuDiY8C3ctxq1tqvaCgkFb8cCA/edit#gid=346597447"",""หนองบัวลำภู!L563"")"),0)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IFERROR(__xludf.DUMMYFUNCTION("IMPORTRANGE(""https://docs.google.com/spreadsheets/d/1XL5vhW3sbDhbH9Cz0tuDiY8C3ctxq1tqvaCgkFb8cCA/edit#gid=346597447"",""หนองบัวลำภู!M563"")"),0)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IFERROR(__xludf.DUMMYFUNCTION("IMPORTRANGE(""https://docs.google.com/spreadsheets/d/1XL5vhW3sbDhbH9Cz0tuDiY8C3ctxq1tqvaCgkFb8cCA/edit#gid=346597447"",""หนองบัวลำภู!J564"")"),0)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IFERROR(__xludf.DUMMYFUNCTION("IMPORTRANGE(""https://docs.google.com/spreadsheets/d/1XL5vhW3sbDhbH9Cz0tuDiY8C3ctxq1tqvaCgkFb8cCA/edit#gid=346597447"",""หนองบัวลำภู!J565"")"),0)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IFERROR(__xludf.DUMMYFUNCTION("IMPORTRANGE(""https://docs.google.com/spreadsheets/d/1XL5vhW3sbDhbH9Cz0tuDiY8C3ctxq1tqvaCgkFb8cCA/edit#gid=346597447"",""หนองบัวลำภู!I566"")"),0)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IFERROR(__xludf.DUMMYFUNCTION("IMPORTRANGE(""https://docs.google.com/spreadsheets/d/1XL5vhW3sbDhbH9Cz0tuDiY8C3ctxq1tqvaCgkFb8cCA/edit#gid=346597447"",""หนองบัวลำภู!L566"")"),0)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IFERROR(__xludf.DUMMYFUNCTION("IMPORTRANGE(""https://docs.google.com/spreadsheets/d/1XL5vhW3sbDhbH9Cz0tuDiY8C3ctxq1tqvaCgkFb8cCA/edit#gid=346597447"",""หนองบัวลำภู!M566"")"),0)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IFERROR(__xludf.DUMMYFUNCTION("IMPORTRANGE(""https://docs.google.com/spreadsheets/d/1XL5vhW3sbDhbH9Cz0tuDiY8C3ctxq1tqvaCgkFb8cCA/edit#gid=346597447"",""หนองบัวลำภู!J567"")"),0)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IFERROR(__xludf.DUMMYFUNCTION("IMPORTRANGE(""https://docs.google.com/spreadsheets/d/1XL5vhW3sbDhbH9Cz0tuDiY8C3ctxq1tqvaCgkFb8cCA/edit#gid=346597447"",""หนองบัวลำภู!J568"")"),0)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IFERROR(__xludf.DUMMYFUNCTION("IMPORTRANGE(""https://docs.google.com/spreadsheets/d/1XL5vhW3sbDhbH9Cz0tuDiY8C3ctxq1tqvaCgkFb8cCA/edit#gid=346597447"",""หนองบัวลำภู!J569"")"),0)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IFERROR(__xludf.DUMMYFUNCTION("IMPORTRANGE(""https://docs.google.com/spreadsheets/d/1XL5vhW3sbDhbH9Cz0tuDiY8C3ctxq1tqvaCgkFb8cCA/edit#gid=346597447"",""หนองบัวลำภู!J570"")"),0)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IFERROR(__xludf.DUMMYFUNCTION("IMPORTRANGE(""https://docs.google.com/spreadsheets/d/1XL5vhW3sbDhbH9Cz0tuDiY8C3ctxq1tqvaCgkFb8cCA/edit#gid=346597447"",""หนองบัวลำภู!J571"")"),0)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IFERROR(__xludf.DUMMYFUNCTION("IMPORTRANGE(""https://docs.google.com/spreadsheets/d/1XL5vhW3sbDhbH9Cz0tuDiY8C3ctxq1tqvaCgkFb8cCA/edit#gid=346597447"",""หนองบัวลำภู!J572"")"),0)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4208864</v>
      </c>
      <c r="M8" s="23">
        <f t="shared" ca="1" si="0"/>
        <v>2813378</v>
      </c>
      <c r="N8" s="23">
        <f t="shared" ca="1" si="0"/>
        <v>3492399.35</v>
      </c>
      <c r="O8" s="22">
        <f t="shared" ref="O8:O16" ca="1" si="1">IF(L8&gt;0,N8*100/L8,0)</f>
        <v>82.977243978422678</v>
      </c>
      <c r="P8" s="22">
        <f t="shared" ref="P8:P16" ca="1" si="2">IF(M8&gt;0,N8*100/M8,0)</f>
        <v>124.13544678319089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4208864</v>
      </c>
      <c r="M10" s="30">
        <f t="shared" ca="1" si="4"/>
        <v>2813378</v>
      </c>
      <c r="N10" s="30">
        <f t="shared" ca="1" si="4"/>
        <v>3492399.35</v>
      </c>
      <c r="O10" s="29">
        <f t="shared" ca="1" si="1"/>
        <v>82.977243978422678</v>
      </c>
      <c r="P10" s="29">
        <f t="shared" ca="1" si="2"/>
        <v>124.13544678319089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4172364</v>
      </c>
      <c r="M12" s="38">
        <f t="shared" ca="1" si="6"/>
        <v>2776878</v>
      </c>
      <c r="N12" s="38">
        <f t="shared" ca="1" si="6"/>
        <v>3455899.35</v>
      </c>
      <c r="O12" s="38">
        <f t="shared" ca="1" si="1"/>
        <v>82.828328257074403</v>
      </c>
      <c r="P12" s="38">
        <f t="shared" ca="1" si="2"/>
        <v>124.45268931512295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2413364</v>
      </c>
      <c r="M14" s="38">
        <f t="shared" si="8"/>
        <v>0</v>
      </c>
      <c r="N14" s="38">
        <f t="shared" ca="1" si="8"/>
        <v>1167395</v>
      </c>
      <c r="O14" s="38">
        <f t="shared" ca="1" si="1"/>
        <v>48.37210632130089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2809920</v>
      </c>
      <c r="M18" s="23">
        <f t="shared" ca="1" si="11"/>
        <v>2813378</v>
      </c>
      <c r="N18" s="23">
        <f t="shared" ca="1" si="11"/>
        <v>2325004.35</v>
      </c>
      <c r="O18" s="22">
        <f t="shared" ref="O18:O20" ca="1" si="12">IF(L18&gt;0,N18*100/L18,0)</f>
        <v>82.742723992142132</v>
      </c>
      <c r="P18" s="22">
        <f t="shared" ref="P18:P26" ca="1" si="13">IF(M18&gt;0,N18*100/M18,0)</f>
        <v>82.64102264253151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2809920</v>
      </c>
      <c r="M20" s="30">
        <f t="shared" ca="1" si="15"/>
        <v>2813378</v>
      </c>
      <c r="N20" s="30">
        <f t="shared" ca="1" si="15"/>
        <v>2325004.35</v>
      </c>
      <c r="O20" s="29">
        <f t="shared" ca="1" si="12"/>
        <v>82.742723992142132</v>
      </c>
      <c r="P20" s="29">
        <f t="shared" ca="1" si="13"/>
        <v>82.64102264253151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2773420</v>
      </c>
      <c r="M22" s="41">
        <f t="shared" ca="1" si="18"/>
        <v>2776878</v>
      </c>
      <c r="N22" s="38">
        <f t="shared" ca="1" si="18"/>
        <v>2288504.35</v>
      </c>
      <c r="O22" s="38">
        <f t="shared" ca="1" si="17"/>
        <v>82.515607084393991</v>
      </c>
      <c r="P22" s="38">
        <f t="shared" ca="1" si="13"/>
        <v>82.41285177094565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1014420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1398944</v>
      </c>
      <c r="M28" s="23">
        <f t="shared" si="23"/>
        <v>0</v>
      </c>
      <c r="N28" s="23">
        <f t="shared" ca="1" si="23"/>
        <v>1167395</v>
      </c>
      <c r="O28" s="22">
        <f t="shared" ref="O28:O30" ca="1" si="24">IF(L28&gt;0,N28*100/L28,0)</f>
        <v>83.448301004186021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1398944</v>
      </c>
      <c r="M30" s="30">
        <f t="shared" si="27"/>
        <v>0</v>
      </c>
      <c r="N30" s="30">
        <f t="shared" ca="1" si="27"/>
        <v>1167395</v>
      </c>
      <c r="O30" s="29">
        <f t="shared" ca="1" si="24"/>
        <v>83.448301004186021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1398944</v>
      </c>
      <c r="M32" s="38">
        <f t="shared" si="30"/>
        <v>0</v>
      </c>
      <c r="N32" s="38">
        <f t="shared" ca="1" si="30"/>
        <v>1167395</v>
      </c>
      <c r="O32" s="38">
        <f t="shared" ca="1" si="29"/>
        <v>83.448301004186021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1398944</v>
      </c>
      <c r="M34" s="38">
        <f t="shared" si="32"/>
        <v>0</v>
      </c>
      <c r="N34" s="38">
        <f t="shared" ca="1" si="32"/>
        <v>1167395</v>
      </c>
      <c r="O34" s="38">
        <f t="shared" ca="1" si="29"/>
        <v>83.448301004186021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2809920</v>
      </c>
      <c r="M37" s="54">
        <f t="shared" ca="1" si="33"/>
        <v>2813378</v>
      </c>
      <c r="N37" s="54">
        <f t="shared" ca="1" si="33"/>
        <v>2325004.35</v>
      </c>
      <c r="O37" s="55">
        <f t="shared" ca="1" si="29"/>
        <v>82.742723992142132</v>
      </c>
      <c r="P37" s="55">
        <f t="shared" ca="1" si="25"/>
        <v>82.64102264253151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659100</v>
      </c>
      <c r="N41" s="78">
        <f t="shared" ca="1" si="34"/>
        <v>578469.06999999995</v>
      </c>
      <c r="O41" s="77">
        <f t="shared" ref="O41:O43" ca="1" si="35">IF(L41&gt;0,N41*100/L41,0)</f>
        <v>87.766510392960086</v>
      </c>
      <c r="P41" s="77">
        <f t="shared" ref="P41:P43" ca="1" si="36">IF(M41&gt;0,N41*100/M41,0)</f>
        <v>87.766510392960086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659100</v>
      </c>
      <c r="N43" s="78">
        <f t="shared" ca="1" si="38"/>
        <v>578469.06999999995</v>
      </c>
      <c r="O43" s="77">
        <f t="shared" ca="1" si="35"/>
        <v>87.766510392960086</v>
      </c>
      <c r="P43" s="77">
        <f t="shared" ca="1" si="36"/>
        <v>87.766510392960086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623">
        <f ca="1">IFERROR(__xludf.DUMMYFUNCTION("IMPORTRANGE(""https://docs.google.com/spreadsheets/d/1Yj_ptqi66GCucihVvJfMjLAmec39IyEx_6qawtMGysU/edit?usp=sharing"",""สบก!Q55"")"),659100)</f>
        <v>659100</v>
      </c>
      <c r="N45" s="623">
        <f ca="1">IFERROR(__xludf.DUMMYFUNCTION("IMPORTRANGE(""https://docs.google.com/spreadsheets/d/1Yj_ptqi66GCucihVvJfMjLAmec39IyEx_6qawtMGysU/edit?usp=sharing"",""สบก!R55"")"),578469.07)</f>
        <v>578469.06999999995</v>
      </c>
      <c r="O45" s="624">
        <f ca="1">IF(L45&gt;0,N45*100/L45,0)</f>
        <v>87.766510392960086</v>
      </c>
      <c r="P45" s="624">
        <f ca="1">IF(M45&gt;0,N45*100/M45,0)</f>
        <v>87.766510392960086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IFERROR(__xludf.DUMMYFUNCTION("IMPORTRANGE(""https://docs.google.com/spreadsheets/d/1Yj_ptqi66GCucihVvJfMjLAmec39IyEx_6qawtMGysU/edit?usp=sharing"",""สบก!M55"")"),659100)</f>
        <v>659100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IFERROR(__xludf.DUMMYFUNCTION("IMPORTRANGE(""https://docs.google.com/spreadsheets/d/1Yj_ptqi66GCucihVvJfMjLAmec39IyEx_6qawtMGysU/edit?usp=sharing"",""สบก!O55"")"),0)</f>
        <v>0</v>
      </c>
      <c r="M49" s="626"/>
      <c r="N49" s="623">
        <f ca="1">IFERROR(__xludf.DUMMYFUNCTION("IMPORTRANGE(""https://docs.google.com/spreadsheets/d/1Yj_ptqi66GCucihVvJfMjLAmec39IyEx_6qawtMGysU/edit?usp=sharing"",""สบก!S55"")"),0)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440238</v>
      </c>
      <c r="N53" s="121">
        <f t="shared" ca="1" si="39"/>
        <v>361838</v>
      </c>
      <c r="O53" s="120">
        <f t="shared" ref="O53:O55" ca="1" si="40">IF(L53&gt;0,N53*100/L53,0)</f>
        <v>75.007877280265333</v>
      </c>
      <c r="P53" s="120">
        <f t="shared" ref="P53:P55" ca="1" si="41">IF(M53&gt;0,N53*100/M53,0)</f>
        <v>82.191450987874745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440238</v>
      </c>
      <c r="N55" s="121">
        <f t="shared" ca="1" si="43"/>
        <v>361838</v>
      </c>
      <c r="O55" s="120">
        <f t="shared" ca="1" si="40"/>
        <v>75.007877280265333</v>
      </c>
      <c r="P55" s="120">
        <f t="shared" ca="1" si="41"/>
        <v>82.191450987874745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623">
        <f ca="1">IFERROR(__xludf.DUMMYFUNCTION("IMPORTRANGE(""https://docs.google.com/spreadsheets/d/1Yj_ptqi66GCucihVvJfMjLAmec39IyEx_6qawtMGysU/edit?usp=sharing"",""สบก!Z55"")"),440238)</f>
        <v>440238</v>
      </c>
      <c r="N57" s="623">
        <f ca="1">IFERROR(__xludf.DUMMYFUNCTION("IMPORTRANGE(""https://docs.google.com/spreadsheets/d/1Yj_ptqi66GCucihVvJfMjLAmec39IyEx_6qawtMGysU/edit?usp=sharing"",""สบก!AA55"")"),361838)</f>
        <v>361838</v>
      </c>
      <c r="O57" s="624">
        <f ca="1">IF(L57&gt;0,N57*100/L57,0)</f>
        <v>75.007877280265333</v>
      </c>
      <c r="P57" s="624">
        <f ca="1">IF(M57&gt;0,N57*100/M57,0)</f>
        <v>82.191450987874745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IFERROR(__xludf.DUMMYFUNCTION("IMPORTRANGE(""https://docs.google.com/spreadsheets/d/1Yj_ptqi66GCucihVvJfMjLAmec39IyEx_6qawtMGysU/edit?usp=sharing"",""สบก!V55"")"),482400)</f>
        <v>482400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IFERROR(__xludf.DUMMYFUNCTION("IMPORTRANGE(""https://docs.google.com/spreadsheets/d/1Yj_ptqi66GCucihVvJfMjLAmec39IyEx_6qawtMGysU/edit?usp=sharing"",""สบก!X55"")"),0)</f>
        <v>0</v>
      </c>
      <c r="M61" s="626"/>
      <c r="N61" s="623">
        <f ca="1">IFERROR(__xludf.DUMMYFUNCTION("IMPORTRANGE(""https://docs.google.com/spreadsheets/d/1Yj_ptqi66GCucihVvJfMjLAmec39IyEx_6qawtMGysU/edit?usp=sharing"",""สบก!AB55"")"),0)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783720</v>
      </c>
      <c r="N66" s="152">
        <f t="shared" ca="1" si="45"/>
        <v>637012.28</v>
      </c>
      <c r="O66" s="151">
        <f t="shared" ref="O66:O68" ca="1" si="46">IF(L66&gt;0,N66*100/L66,0)</f>
        <v>81.973012482306004</v>
      </c>
      <c r="P66" s="151">
        <f t="shared" ref="P66:P68" ca="1" si="47">IF(M66&gt;0,N66*100/M66,0)</f>
        <v>81.280595110498652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783720</v>
      </c>
      <c r="N68" s="157">
        <f t="shared" ca="1" si="49"/>
        <v>637012.28</v>
      </c>
      <c r="O68" s="156">
        <f t="shared" ca="1" si="46"/>
        <v>81.973012482306004</v>
      </c>
      <c r="P68" s="156">
        <f t="shared" ca="1" si="47"/>
        <v>81.280595110498652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777100</v>
      </c>
      <c r="M70" s="627">
        <f ca="1">IFERROR(__xludf.DUMMYFUNCTION("IMPORTRANGE(""https://docs.google.com/spreadsheets/d/1Yj_ptqi66GCucihVvJfMjLAmec39IyEx_6qawtMGysU/edit?usp=sharing"",""สบก!AI55"")"),783720)</f>
        <v>783720</v>
      </c>
      <c r="N70" s="628">
        <f ca="1">IFERROR(__xludf.DUMMYFUNCTION("IMPORTRANGE(""https://docs.google.com/spreadsheets/d/1Yj_ptqi66GCucihVvJfMjLAmec39IyEx_6qawtMGysU/edit?usp=sharing"",""สบก!AJ55"")"),637012.28)</f>
        <v>637012.28</v>
      </c>
      <c r="O70" s="169">
        <f ca="1">IF(L70&gt;0,N70*100/L70,0)</f>
        <v>81.973012482306004</v>
      </c>
      <c r="P70" s="169">
        <f ca="1">IF(M70&gt;0,N70*100/M70,0)</f>
        <v>81.280595110498652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IFERROR(__xludf.DUMMYFUNCTION("IMPORTRANGE(""https://docs.google.com/spreadsheets/d/1Yj_ptqi66GCucihVvJfMjLAmec39IyEx_6qawtMGysU/edit?usp=sharing"",""สบก!AF55"")"),465600)</f>
        <v>465600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IFERROR(__xludf.DUMMYFUNCTION("IMPORTRANGE(""https://docs.google.com/spreadsheets/d/1Yj_ptqi66GCucihVvJfMjLAmec39IyEx_6qawtMGysU/edit?usp=sharing"",""สบก!AG55"")"),0)</f>
        <v>0</v>
      </c>
      <c r="M74" s="626"/>
      <c r="N74" s="623">
        <f ca="1">IFERROR(__xludf.DUMMYFUNCTION("IMPORTRANGE(""https://docs.google.com/spreadsheets/d/1Yj_ptqi66GCucihVvJfMjLAmec39IyEx_6qawtMGysU/edit?usp=sharing"",""สบก!AK55"")"),0)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IFERROR(__xludf.DUMMYFUNCTION("IMPORTRANGE(""https://docs.google.com/spreadsheets/d/1XL5vhW3sbDhbH9Cz0tuDiY8C3ctxq1tqvaCgkFb8cCA/edit?usp=sharing"",""อำนาจเจริญ!I28"")"),1)</f>
        <v>1</v>
      </c>
      <c r="J88" s="204">
        <f ca="1">IFERROR(__xludf.DUMMYFUNCTION("IMPORTRANGE(""https://docs.google.com/spreadsheets/d/1XL5vhW3sbDhbH9Cz0tuDiY8C3ctxq1tqvaCgkFb8cCA/edit?usp=sharing"",""อำนาจเจริญ!J28"")"),1)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IFERROR(__xludf.DUMMYFUNCTION("IMPORTRANGE(""https://docs.google.com/spreadsheets/d/1Yj_ptqi66GCucihVvJfMjLAmec39IyEx_6qawtMGysU/edit?usp=sharing"",""สบก!AR55"")"),0)</f>
        <v>0</v>
      </c>
      <c r="N98" s="628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IFERROR(__xludf.DUMMYFUNCTION("IMPORTRANGE(""https://docs.google.com/spreadsheets/d/1Yj_ptqi66GCucihVvJfMjLAmec39IyEx_6qawtMGysU/edit?usp=sharing"",""สบก!AP55"")"),0)</f>
        <v>0</v>
      </c>
      <c r="M102" s="626"/>
      <c r="N102" s="623">
        <f ca="1">IFERROR(__xludf.DUMMYFUNCTION("IMPORTRANGE(""https://docs.google.com/spreadsheets/d/1Yj_ptqi66GCucihVvJfMjLAmec39IyEx_6qawtMGysU/edit?usp=sharing"",""สบก!AT55"")"),0)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IFERROR(__xludf.DUMMYFUNCTION("IMPORTRANGE(""https://docs.google.com/spreadsheets/d/1Yj_ptqi66GCucihVvJfMjLAmec39IyEx_6qawtMGysU/edit?usp=sharing"",""สบก!BA55"")"),0)</f>
        <v>0</v>
      </c>
      <c r="N122" s="628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IFERROR(__xludf.DUMMYFUNCTION("IMPORTRANGE(""https://docs.google.com/spreadsheets/d/1Yj_ptqi66GCucihVvJfMjLAmec39IyEx_6qawtMGysU/edit?usp=sharing"",""สบก!AY55"")"),0)</f>
        <v>0</v>
      </c>
      <c r="M126" s="626"/>
      <c r="N126" s="623">
        <f ca="1">IFERROR(__xludf.DUMMYFUNCTION("IMPORTRANGE(""https://docs.google.com/spreadsheets/d/1Yj_ptqi66GCucihVvJfMjLAmec39IyEx_6qawtMGysU/edit?usp=sharing"",""สบก!BC55"")"),0)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97480</v>
      </c>
      <c r="M140" s="152">
        <f t="shared" ca="1" si="64"/>
        <v>97480</v>
      </c>
      <c r="N140" s="152">
        <f t="shared" ca="1" si="64"/>
        <v>97480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97480</v>
      </c>
      <c r="M142" s="157">
        <f t="shared" ca="1" si="68"/>
        <v>97480</v>
      </c>
      <c r="N142" s="157">
        <f t="shared" ca="1" si="68"/>
        <v>97480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97480</v>
      </c>
      <c r="M144" s="627">
        <f ca="1">IFERROR(__xludf.DUMMYFUNCTION("IMPORTRANGE(""https://docs.google.com/spreadsheets/d/1Yj_ptqi66GCucihVvJfMjLAmec39IyEx_6qawtMGysU/edit?usp=sharing"",""สบก!BJ55"")"),97480)</f>
        <v>97480</v>
      </c>
      <c r="N144" s="628">
        <f ca="1">IFERROR(__xludf.DUMMYFUNCTION("IMPORTRANGE(""https://docs.google.com/spreadsheets/d/1Yj_ptqi66GCucihVvJfMjLAmec39IyEx_6qawtMGysU/edit?usp=sharing"",""สบก!BK55"")"),97480)</f>
        <v>97480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IFERROR(__xludf.DUMMYFUNCTION("IMPORTRANGE(""https://docs.google.com/spreadsheets/d/1Yj_ptqi66GCucihVvJfMjLAmec39IyEx_6qawtMGysU/edit?usp=sharing"",""สบก!BG55"")"),97480)</f>
        <v>97480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IFERROR(__xludf.DUMMYFUNCTION("IMPORTRANGE(""https://docs.google.com/spreadsheets/d/1Yj_ptqi66GCucihVvJfMjLAmec39IyEx_6qawtMGysU/edit?usp=sharing"",""สบก!BH55"")"),0)</f>
        <v>0</v>
      </c>
      <c r="M148" s="626"/>
      <c r="N148" s="623">
        <f ca="1">IFERROR(__xludf.DUMMYFUNCTION("IMPORTRANGE(""https://docs.google.com/spreadsheets/d/1Yj_ptqi66GCucihVvJfMjLAmec39IyEx_6qawtMGysU/edit?usp=sharing"",""สบก!BL55"")"),0)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IFERROR(__xludf.DUMMYFUNCTION("IMPORTRANGE(""https://docs.google.com/spreadsheets/d/1XL5vhW3sbDhbH9Cz0tuDiY8C3ctxq1tqvaCgkFb8cCA/edit?usp=sharing"",""อำนาจเจริญ!J84"")"),61)</f>
        <v>61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IFERROR(__xludf.DUMMYFUNCTION("IMPORTRANGE(""https://docs.google.com/spreadsheets/d/1XL5vhW3sbDhbH9Cz0tuDiY8C3ctxq1tqvaCgkFb8cCA/edit?usp=sharing"",""อำนาจเจริญ!J85"")"),61)</f>
        <v>61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IFERROR(__xludf.DUMMYFUNCTION("IMPORTRANGE(""https://docs.google.com/spreadsheets/d/1XL5vhW3sbDhbH9Cz0tuDiY8C3ctxq1tqvaCgkFb8cCA/edit?usp=sharing"",""อำนาจเจริญ!J88"")"),1)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IFERROR(__xludf.DUMMYFUNCTION("IMPORTRANGE(""https://docs.google.com/spreadsheets/d/1XL5vhW3sbDhbH9Cz0tuDiY8C3ctxq1tqvaCgkFb8cCA/edit?usp=sharing"",""อำนาจเจริญ!I89"")"),2)</f>
        <v>2</v>
      </c>
      <c r="J164" s="285">
        <f ca="1">IFERROR(__xludf.DUMMYFUNCTION("IMPORTRANGE(""https://docs.google.com/spreadsheets/d/1XL5vhW3sbDhbH9Cz0tuDiY8C3ctxq1tqvaCgkFb8cCA/edit?usp=sharing"",""อำนาจเจริญ!J89"")"),2)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IFERROR(__xludf.DUMMYFUNCTION("IMPORTRANGE(""https://docs.google.com/spreadsheets/d/1XL5vhW3sbDhbH9Cz0tuDiY8C3ctxq1tqvaCgkFb8cCA/edit?usp=sharing"",""อำนาจเจริญ!J100"")"),1)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IFERROR(__xludf.DUMMYFUNCTION("IMPORTRANGE(""https://docs.google.com/spreadsheets/d/1XL5vhW3sbDhbH9Cz0tuDiY8C3ctxq1tqvaCgkFb8cCA/edit?usp=sharing"",""อำนาจเจริญ!I101"")"),1)</f>
        <v>1</v>
      </c>
      <c r="J176" s="285">
        <f ca="1">IFERROR(__xludf.DUMMYFUNCTION("IMPORTRANGE(""https://docs.google.com/spreadsheets/d/1XL5vhW3sbDhbH9Cz0tuDiY8C3ctxq1tqvaCgkFb8cCA/edit?usp=sharing"",""อำนาจเจริญ!J101"")"),1)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IFERROR(__xludf.DUMMYFUNCTION("IMPORTRANGE(""https://docs.google.com/spreadsheets/d/1XL5vhW3sbDhbH9Cz0tuDiY8C3ctxq1tqvaCgkFb8cCA/edit?usp=sharing"",""อำนาจเจริญ!J113"")"),1)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IFERROR(__xludf.DUMMYFUNCTION("IMPORTRANGE(""https://docs.google.com/spreadsheets/d/1XL5vhW3sbDhbH9Cz0tuDiY8C3ctxq1tqvaCgkFb8cCA/edit?usp=sharing"",""อำนาจเจริญ!I114"")"),64000)</f>
        <v>64000</v>
      </c>
      <c r="J189" s="285">
        <f ca="1">IFERROR(__xludf.DUMMYFUNCTION("IMPORTRANGE(""https://docs.google.com/spreadsheets/d/1XL5vhW3sbDhbH9Cz0tuDiY8C3ctxq1tqvaCgkFb8cCA/edit?usp=sharing"",""อำนาจเจริญ!J114"")"),64000)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IFERROR(__xludf.DUMMYFUNCTION("IMPORTRANGE(""https://docs.google.com/spreadsheets/d/1XL5vhW3sbDhbH9Cz0tuDiY8C3ctxq1tqvaCgkFb8cCA/edit?usp=sharing"",""อำนาจเจริญ!J128"")"),1)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IFERROR(__xludf.DUMMYFUNCTION("IMPORTRANGE(""https://docs.google.com/spreadsheets/d/1XL5vhW3sbDhbH9Cz0tuDiY8C3ctxq1tqvaCgkFb8cCA/edit?usp=sharing"",""อำนาจเจริญ!I129"")"),0)</f>
        <v>0</v>
      </c>
      <c r="J204" s="285">
        <f ca="1">IFERROR(__xludf.DUMMYFUNCTION("IMPORTRANGE(""https://docs.google.com/spreadsheets/d/1XL5vhW3sbDhbH9Cz0tuDiY8C3ctxq1tqvaCgkFb8cCA/edit?usp=sharing"",""อำนาจเจริญ!J129"")"),0)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IFERROR(__xludf.DUMMYFUNCTION("IMPORTRANGE(""https://docs.google.com/spreadsheets/d/1Yj_ptqi66GCucihVvJfMjLAmec39IyEx_6qawtMGysU/edit?usp=sharing"",""สบก!BS55"")"),20210)</f>
        <v>20210</v>
      </c>
      <c r="N224" s="628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IFERROR(__xludf.DUMMYFUNCTION("IMPORTRANGE(""https://docs.google.com/spreadsheets/d/1Yj_ptqi66GCucihVvJfMjLAmec39IyEx_6qawtMGysU/edit?usp=sharing"",""สบก!BQ55"")"),0)</f>
        <v>0</v>
      </c>
      <c r="M228" s="626"/>
      <c r="N228" s="623">
        <f ca="1">IFERROR(__xludf.DUMMYFUNCTION("IMPORTRANGE(""https://docs.google.com/spreadsheets/d/1Yj_ptqi66GCucihVvJfMjLAmec39IyEx_6qawtMGysU/edit?usp=sharing"",""สบก!BU55"")"),0)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IFERROR(__xludf.DUMMYFUNCTION("IMPORTRANGE(""https://docs.google.com/spreadsheets/d/1XL5vhW3sbDhbH9Cz0tuDiY8C3ctxq1tqvaCgkFb8cCA/edit?usp=sharing"",""อำนาจเจริญ!I169"")"),0)</f>
        <v>0</v>
      </c>
      <c r="J249" s="317">
        <f ca="1">IFERROR(__xludf.DUMMYFUNCTION("IMPORTRANGE(""https://docs.google.com/spreadsheets/d/1XL5vhW3sbDhbH9Cz0tuDiY8C3ctxq1tqvaCgkFb8cCA/edit?usp=sharing"",""อำนาจเจริญ!J169"")"),0)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IFERROR(__xludf.DUMMYFUNCTION("IMPORTRANGE(""https://docs.google.com/spreadsheets/d/1Yj_ptqi66GCucihVvJfMjLAmec39IyEx_6qawtMGysU/edit?usp=sharing"",""สบก!CB55"")"),0)</f>
        <v>0</v>
      </c>
      <c r="N254" s="628">
        <f ca="1">IFERROR(__xludf.DUMMYFUNCTION("IMPORTRANGE(""https://docs.google.com/spreadsheets/d/1Yj_ptqi66GCucihVvJfMjLAmec39IyEx_6qawtMGysU/edit?usp=sharing"",""สบก!CC55"")"),0)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IFERROR(__xludf.DUMMYFUNCTION("IMPORTRANGE(""https://docs.google.com/spreadsheets/d/1Yj_ptqi66GCucihVvJfMjLAmec39IyEx_6qawtMGysU/edit?usp=sharing"",""สบก!BZ55"")"),0)</f>
        <v>0</v>
      </c>
      <c r="M258" s="626"/>
      <c r="N258" s="623">
        <f ca="1">IFERROR(__xludf.DUMMYFUNCTION("IMPORTRANGE(""https://docs.google.com/spreadsheets/d/1Yj_ptqi66GCucihVvJfMjLAmec39IyEx_6qawtMGysU/edit?usp=sharing"",""สบก!CD55"")"),0)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IFERROR(__xludf.DUMMYFUNCTION("IMPORTRANGE(""https://docs.google.com/spreadsheets/d/1XL5vhW3sbDhbH9Cz0tuDiY8C3ctxq1tqvaCgkFb8cCA/edit?usp=sharing"",""อำนาจเจริญ!J184"")"),0)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IFERROR(__xludf.DUMMYFUNCTION("IMPORTRANGE(""https://docs.google.com/spreadsheets/d/1XL5vhW3sbDhbH9Cz0tuDiY8C3ctxq1tqvaCgkFb8cCA/edit?usp=sharing"",""อำนาจเจริญ!I185"")"),15)</f>
        <v>15</v>
      </c>
      <c r="J270" s="317">
        <f ca="1">IFERROR(__xludf.DUMMYFUNCTION("IMPORTRANGE(""https://docs.google.com/spreadsheets/d/1XL5vhW3sbDhbH9Cz0tuDiY8C3ctxq1tqvaCgkFb8cCA/edit?usp=sharing"",""อำนาจเจริญ!J185"")"),15)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IFERROR(__xludf.DUMMYFUNCTION("IMPORTRANGE(""https://docs.google.com/spreadsheets/d/1Yj_ptqi66GCucihVvJfMjLAmec39IyEx_6qawtMGysU/edit?usp=sharing"",""สบก!CK55"")"),55200)</f>
        <v>55200</v>
      </c>
      <c r="N275" s="628">
        <f ca="1">IFERROR(__xludf.DUMMYFUNCTION("IMPORTRANGE(""https://docs.google.com/spreadsheets/d/1Yj_ptqi66GCucihVvJfMjLAmec39IyEx_6qawtMGysU/edit?usp=sharing"",""สบก!CL55"")"),55200)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IFERROR(__xludf.DUMMYFUNCTION("IMPORTRANGE(""https://docs.google.com/spreadsheets/d/1Yj_ptqi66GCucihVvJfMjLAmec39IyEx_6qawtMGysU/edit?usp=sharing"",""สบก!CI55"")"),0)</f>
        <v>0</v>
      </c>
      <c r="M279" s="626"/>
      <c r="N279" s="623">
        <f ca="1">IFERROR(__xludf.DUMMYFUNCTION("IMPORTRANGE(""https://docs.google.com/spreadsheets/d/1Yj_ptqi66GCucihVvJfMjLAmec39IyEx_6qawtMGysU/edit?usp=sharing"",""สบก!CM55"")"),0)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IFERROR(__xludf.DUMMYFUNCTION("IMPORTRANGE(""https://docs.google.com/spreadsheets/d/1XL5vhW3sbDhbH9Cz0tuDiY8C3ctxq1tqvaCgkFb8cCA/edit?usp=sharing"",""อำนาจเจริญ!J197"")"),1)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IFERROR(__xludf.DUMMYFUNCTION("IMPORTRANGE(""https://docs.google.com/spreadsheets/d/1XL5vhW3sbDhbH9Cz0tuDiY8C3ctxq1tqvaCgkFb8cCA/edit?usp=sharing"",""อำนาจเจริญ!I199"")"),0)</f>
        <v>0</v>
      </c>
      <c r="J289" s="317">
        <f ca="1">IFERROR(__xludf.DUMMYFUNCTION("IMPORTRANGE(""https://docs.google.com/spreadsheets/d/1XL5vhW3sbDhbH9Cz0tuDiY8C3ctxq1tqvaCgkFb8cCA/edit?usp=sharing"",""อำนาจเจริญ!J199"")"),0)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IFERROR(__xludf.DUMMYFUNCTION("IMPORTRANGE(""https://docs.google.com/spreadsheets/d/1Yj_ptqi66GCucihVvJfMjLAmec39IyEx_6qawtMGysU/edit?usp=sharing"",""สบก!CT55"")"),0)</f>
        <v>0</v>
      </c>
      <c r="N294" s="628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IFERROR(__xludf.DUMMYFUNCTION("IMPORTRANGE(""https://docs.google.com/spreadsheets/d/1Yj_ptqi66GCucihVvJfMjLAmec39IyEx_6qawtMGysU/edit?usp=sharing"",""สบก!CR55"")"),0)</f>
        <v>0</v>
      </c>
      <c r="M298" s="626"/>
      <c r="N298" s="623">
        <f ca="1">IFERROR(__xludf.DUMMYFUNCTION("IMPORTRANGE(""https://docs.google.com/spreadsheets/d/1Yj_ptqi66GCucihVvJfMjLAmec39IyEx_6qawtMGysU/edit?usp=sharing"",""สบก!CV55"")"),0)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IFERROR(__xludf.DUMMYFUNCTION("IMPORTRANGE(""https://docs.google.com/spreadsheets/d/1XL5vhW3sbDhbH9Cz0tuDiY8C3ctxq1tqvaCgkFb8cCA/edit?usp=sharing"",""อำนาจเจริญ!I214"")"),0)</f>
        <v>0</v>
      </c>
      <c r="J309" s="334">
        <f ca="1">IFERROR(__xludf.DUMMYFUNCTION("IMPORTRANGE(""https://docs.google.com/spreadsheets/d/1XL5vhW3sbDhbH9Cz0tuDiY8C3ctxq1tqvaCgkFb8cCA/edit?usp=sharing"",""อำนาจเจริญ!J214"")"),0)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IFERROR(__xludf.DUMMYFUNCTION("IMPORTRANGE(""https://docs.google.com/spreadsheets/d/1Yj_ptqi66GCucihVvJfMjLAmec39IyEx_6qawtMGysU/edit?usp=sharing"",""สบก!DC55"")"),0)</f>
        <v>0</v>
      </c>
      <c r="N314" s="628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IFERROR(__xludf.DUMMYFUNCTION("IMPORTRANGE(""https://docs.google.com/spreadsheets/d/1Yj_ptqi66GCucihVvJfMjLAmec39IyEx_6qawtMGysU/edit?usp=sharing"",""สบก!DA55"")"),0)</f>
        <v>0</v>
      </c>
      <c r="M318" s="626"/>
      <c r="N318" s="623">
        <f ca="1">IFERROR(__xludf.DUMMYFUNCTION("IMPORTRANGE(""https://docs.google.com/spreadsheets/d/1Yj_ptqi66GCucihVvJfMjLAmec39IyEx_6qawtMGysU/edit?usp=sharing"",""สบก!DE55"")"),0)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IFERROR(__xludf.DUMMYFUNCTION("IMPORTRANGE(""https://docs.google.com/spreadsheets/d/1XL5vhW3sbDhbH9Cz0tuDiY8C3ctxq1tqvaCgkFb8cCA/edit?usp=sharing"",""อำนาจเจริญ!I228"")"),434)</f>
        <v>434</v>
      </c>
      <c r="J328" s="340">
        <f ca="1">IFERROR(__xludf.DUMMYFUNCTION("IMPORTRANGE(""https://docs.google.com/spreadsheets/d/1XL5vhW3sbDhbH9Cz0tuDiY8C3ctxq1tqvaCgkFb8cCA/edit?usp=sharing"",""อำนาจเจริญ!J228"")"),389)</f>
        <v>389</v>
      </c>
      <c r="K328" s="318">
        <f ca="1">IF(I328&gt;0,J328*100/I328,0)</f>
        <v>89.63133640552995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718430</v>
      </c>
      <c r="M329" s="152">
        <f t="shared" ca="1" si="98"/>
        <v>757430</v>
      </c>
      <c r="N329" s="152">
        <f t="shared" ca="1" si="98"/>
        <v>574795</v>
      </c>
      <c r="O329" s="151">
        <f t="shared" ref="O329:O331" ca="1" si="99">IF(L329&gt;0,N329*100/L329,0)</f>
        <v>80.007098812688781</v>
      </c>
      <c r="P329" s="151">
        <f t="shared" ref="P329:P331" ca="1" si="100">IF(M329&gt;0,N329*100/M329,0)</f>
        <v>75.887540762842775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718430</v>
      </c>
      <c r="M331" s="157">
        <f t="shared" ca="1" si="102"/>
        <v>757430</v>
      </c>
      <c r="N331" s="157">
        <f t="shared" ca="1" si="102"/>
        <v>574795</v>
      </c>
      <c r="O331" s="156">
        <f t="shared" ca="1" si="99"/>
        <v>80.007098812688781</v>
      </c>
      <c r="P331" s="156">
        <f t="shared" ca="1" si="100"/>
        <v>75.887540762842775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681930</v>
      </c>
      <c r="M333" s="627">
        <f ca="1">IFERROR(__xludf.DUMMYFUNCTION("IMPORTRANGE(""https://docs.google.com/spreadsheets/d/1Yj_ptqi66GCucihVvJfMjLAmec39IyEx_6qawtMGysU/edit?usp=sharing"",""สบก!DL55"")"),720930)</f>
        <v>720930</v>
      </c>
      <c r="N333" s="628">
        <f ca="1">IFERROR(__xludf.DUMMYFUNCTION("IMPORTRANGE(""https://docs.google.com/spreadsheets/d/1Yj_ptqi66GCucihVvJfMjLAmec39IyEx_6qawtMGysU/edit?usp=sharing"",""สบก!DM55"")"),538295)</f>
        <v>538295</v>
      </c>
      <c r="O333" s="169">
        <f ca="1">IF(L333&gt;0,N333*100/L333,0)</f>
        <v>78.936987667355893</v>
      </c>
      <c r="P333" s="169">
        <f ca="1">IF(M333&gt;0,N333*100/M333,0)</f>
        <v>74.666749892499965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IFERROR(__xludf.DUMMYFUNCTION("IMPORTRANGE(""https://docs.google.com/spreadsheets/d/1Yj_ptqi66GCucihVvJfMjLAmec39IyEx_6qawtMGysU/edit?usp=sharing"",""สบก!DI55"")"),375930)</f>
        <v>375930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IFERROR(__xludf.DUMMYFUNCTION("IMPORTRANGE(""https://docs.google.com/spreadsheets/d/1Yj_ptqi66GCucihVvJfMjLAmec39IyEx_6qawtMGysU/edit?usp=sharing"",""สบก!DJ55"")"),36500)</f>
        <v>36500</v>
      </c>
      <c r="M337" s="626">
        <f ca="1">L337</f>
        <v>36500</v>
      </c>
      <c r="N337" s="623">
        <f ca="1">IFERROR(__xludf.DUMMYFUNCTION("IMPORTRANGE(""https://docs.google.com/spreadsheets/d/1Yj_ptqi66GCucihVvJfMjLAmec39IyEx_6qawtMGysU/edit?usp=sharing"",""สบก!DN55"")"),36500)</f>
        <v>36500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IFERROR(__xludf.DUMMYFUNCTION("IMPORTRANGE(""https://docs.google.com/spreadsheets/d/1XL5vhW3sbDhbH9Cz0tuDiY8C3ctxq1tqvaCgkFb8cCA/edit?usp=sharing"",""อำนาจเจริญ!J234"")"),189)</f>
        <v>189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IFERROR(__xludf.DUMMYFUNCTION("IMPORTRANGE(""https://docs.google.com/spreadsheets/d/1XL5vhW3sbDhbH9Cz0tuDiY8C3ctxq1tqvaCgkFb8cCA/edit?usp=sharing"",""อำนาจเจริญ!J235"")"),1808.54)</f>
        <v>1808.54</v>
      </c>
      <c r="K340" s="343">
        <f t="shared" ca="1" si="103"/>
        <v>90.427000000000007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IFERROR(__xludf.DUMMYFUNCTION("IMPORTRANGE(""https://docs.google.com/spreadsheets/d/1XL5vhW3sbDhbH9Cz0tuDiY8C3ctxq1tqvaCgkFb8cCA/edit?usp=sharing"",""อำนาจเจริญ!J236"")"),399)</f>
        <v>399</v>
      </c>
      <c r="K341" s="343">
        <f t="shared" ca="1" si="103"/>
        <v>91.935483870967744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IFERROR(__xludf.DUMMYFUNCTION("IMPORTRANGE(""https://docs.google.com/spreadsheets/d/1XL5vhW3sbDhbH9Cz0tuDiY8C3ctxq1tqvaCgkFb8cCA/edit?usp=sharing"",""อำนาจเจริญ!J237"")"),3609.06)</f>
        <v>3609.06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IFERROR(__xludf.DUMMYFUNCTION("IMPORTRANGE(""https://docs.google.com/spreadsheets/d/1XL5vhW3sbDhbH9Cz0tuDiY8C3ctxq1tqvaCgkFb8cCA/edit?usp=sharing"",""อำนาจเจริญ!J238"")"),7)</f>
        <v>7</v>
      </c>
      <c r="K343" s="343">
        <f t="shared" ca="1" si="103"/>
        <v>1.6129032258064515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IFERROR(__xludf.DUMMYFUNCTION("IMPORTRANGE(""https://docs.google.com/spreadsheets/d/1XL5vhW3sbDhbH9Cz0tuDiY8C3ctxq1tqvaCgkFb8cCA/edit?usp=sharing"",""อำนาจเจริญ!J239"")"),47.5)</f>
        <v>47.5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IFERROR(__xludf.DUMMYFUNCTION("IMPORTRANGE(""https://docs.google.com/spreadsheets/d/1XL5vhW3sbDhbH9Cz0tuDiY8C3ctxq1tqvaCgkFb8cCA/edit?usp=sharing"",""อำนาจเจริญ!J240"")"),389)</f>
        <v>389</v>
      </c>
      <c r="K345" s="343">
        <f t="shared" ca="1" si="103"/>
        <v>89.63133640552995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IFERROR(__xludf.DUMMYFUNCTION("IMPORTRANGE(""https://docs.google.com/spreadsheets/d/1XL5vhW3sbDhbH9Cz0tuDiY8C3ctxq1tqvaCgkFb8cCA/edit?usp=sharing"",""อำนาจเจริญ!J241"")"),3428.45)</f>
        <v>3428.45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IFERROR(__xludf.DUMMYFUNCTION("IMPORTRANGE(""https://docs.google.com/spreadsheets/d/1XL5vhW3sbDhbH9Cz0tuDiY8C3ctxq1tqvaCgkFb8cCA/edit?usp=sharing"",""อำนาจเจริญ!L242"")"),1398944)</f>
        <v>1398944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IFERROR(__xludf.DUMMYFUNCTION("IMPORTRANGE(""https://docs.google.com/spreadsheets/d/1XL5vhW3sbDhbH9Cz0tuDiY8C3ctxq1tqvaCgkFb8cCA/edit?usp=sharing"",""อำนาจเจริญ!M242"")"),1167395)</f>
        <v>1167395</v>
      </c>
      <c r="O347" s="358">
        <f ca="1">+IF(L347&gt;0,N347*100/L347,0)</f>
        <v>83.448301004186021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IFERROR(__xludf.DUMMYFUNCTION("IMPORTRANGE(""https://docs.google.com/spreadsheets/d/1XL5vhW3sbDhbH9Cz0tuDiY8C3ctxq1tqvaCgkFb8cCA/edit?usp=sharing"",""อำนาจเจริญ!M244"")"),258330)</f>
        <v>258330</v>
      </c>
      <c r="O349" s="373">
        <f ca="1">+IF(L349&gt;0,N349*100/L349,0)</f>
        <v>79.914001113654649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IFERROR(__xludf.DUMMYFUNCTION("IMPORTRANGE(""https://docs.google.com/spreadsheets/d/1XL5vhW3sbDhbH9Cz0tuDiY8C3ctxq1tqvaCgkFb8cCA/edit?usp=sharing"",""อำนาจเจริญ!M247"")"),258330)</f>
        <v>258330</v>
      </c>
      <c r="O352" s="165">
        <f t="shared" ca="1" si="105"/>
        <v>79.914001113654649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IFERROR(__xludf.DUMMYFUNCTION("IMPORTRANGE(""https://docs.google.com/spreadsheets/d/1XL5vhW3sbDhbH9Cz0tuDiY8C3ctxq1tqvaCgkFb8cCA/edit?usp=sharing"",""อำนาจเจริญ!L249"")"),323260)</f>
        <v>323260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IFERROR(__xludf.DUMMYFUNCTION("IMPORTRANGE(""https://docs.google.com/spreadsheets/d/1XL5vhW3sbDhbH9Cz0tuDiY8C3ctxq1tqvaCgkFb8cCA/edit?usp=sharing"",""อำนาจเจริญ!M249"")"),258330)</f>
        <v>258330</v>
      </c>
      <c r="O354" s="169">
        <f t="shared" ca="1" si="105"/>
        <v>79.914001113654649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IFERROR(__xludf.DUMMYFUNCTION("IMPORTRANGE(""https://docs.google.com/spreadsheets/d/1XL5vhW3sbDhbH9Cz0tuDiY8C3ctxq1tqvaCgkFb8cCA/edit?usp=sharing"",""อำนาจเจริญ!M252"")"),99700)</f>
        <v>99700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IFERROR(__xludf.DUMMYFUNCTION("IMPORTRANGE(""https://docs.google.com/spreadsheets/d/1XL5vhW3sbDhbH9Cz0tuDiY8C3ctxq1tqvaCgkFb8cCA/edit?usp=sharing"",""อำนาจเจริญ!M253"")"),12130)</f>
        <v>12130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IFERROR(__xludf.DUMMYFUNCTION("IMPORTRANGE(""https://docs.google.com/spreadsheets/d/1XL5vhW3sbDhbH9Cz0tuDiY8C3ctxq1tqvaCgkFb8cCA/edit?usp=sharing"",""อำนาจเจริญ!M275"")"),450905)</f>
        <v>450905</v>
      </c>
      <c r="O380" s="373">
        <f ca="1">+IF(L380&gt;0,N380*100/L380,0)</f>
        <v>97.993002129786589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IFERROR(__xludf.DUMMYFUNCTION("IMPORTRANGE(""https://docs.google.com/spreadsheets/d/1XL5vhW3sbDhbH9Cz0tuDiY8C3ctxq1tqvaCgkFb8cCA/edit?usp=sharing"",""อำนาจเจริญ!M278"")"),450905)</f>
        <v>450905</v>
      </c>
      <c r="O383" s="165">
        <f t="shared" ca="1" si="109"/>
        <v>97.993002129786589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IFERROR(__xludf.DUMMYFUNCTION("IMPORTRANGE(""https://docs.google.com/spreadsheets/d/1XL5vhW3sbDhbH9Cz0tuDiY8C3ctxq1tqvaCgkFb8cCA/edit?usp=sharing"",""อำนาจเจริญ!M280"")"),450905)</f>
        <v>450905</v>
      </c>
      <c r="O385" s="169">
        <f t="shared" ca="1" si="109"/>
        <v>97.993002129786589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IFERROR(__xludf.DUMMYFUNCTION("IMPORTRANGE(""https://docs.google.com/spreadsheets/d/1XL5vhW3sbDhbH9Cz0tuDiY8C3ctxq1tqvaCgkFb8cCA/edit?usp=sharing"",""อำนาจเจริญ!M281"")"),107575)</f>
        <v>107575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IFERROR(__xludf.DUMMYFUNCTION("IMPORTRANGE(""https://docs.google.com/spreadsheets/d/1XL5vhW3sbDhbH9Cz0tuDiY8C3ctxq1tqvaCgkFb8cCA/edit?usp=sharing"",""อำนาจเจริญ!M284"")"),30830)</f>
        <v>30830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IFERROR(__xludf.DUMMYFUNCTION("IMPORTRANGE(""https://docs.google.com/spreadsheets/d/1XL5vhW3sbDhbH9Cz0tuDiY8C3ctxq1tqvaCgkFb8cCA/edit?usp=sharing"",""อำนาจเจริญ!M296"")"),172290)</f>
        <v>172290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IFERROR(__xludf.DUMMYFUNCTION("IMPORTRANGE(""https://docs.google.com/spreadsheets/d/1XL5vhW3sbDhbH9Cz0tuDiY8C3ctxq1tqvaCgkFb8cCA/edit?usp=sharing"",""อำนาจเจริญ!M299"")"),172290)</f>
        <v>172290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IFERROR(__xludf.DUMMYFUNCTION("IMPORTRANGE(""https://docs.google.com/spreadsheets/d/1XL5vhW3sbDhbH9Cz0tuDiY8C3ctxq1tqvaCgkFb8cCA/edit?usp=sharing"",""อำนาจเจริญ!M301"")"),172290)</f>
        <v>172290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IFERROR(__xludf.DUMMYFUNCTION("IMPORTRANGE(""https://docs.google.com/spreadsheets/d/1XL5vhW3sbDhbH9Cz0tuDiY8C3ctxq1tqvaCgkFb8cCA/edit?usp=sharing"",""อำนาจเจริญ!M302"")"),107350)</f>
        <v>107350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IFERROR(__xludf.DUMMYFUNCTION("IMPORTRANGE(""https://docs.google.com/spreadsheets/d/1XL5vhW3sbDhbH9Cz0tuDiY8C3ctxq1tqvaCgkFb8cCA/edit?usp=sharing"",""อำนาจเจริญ!M305"")"),32440)</f>
        <v>32440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IFERROR(__xludf.DUMMYFUNCTION("IMPORTRANGE(""https://docs.google.com/spreadsheets/d/1XL5vhW3sbDhbH9Cz0tuDiY8C3ctxq1tqvaCgkFb8cCA/edit?usp=sharing"",""อำนาจเจริญ!J322"")"),60)</f>
        <v>60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IFERROR(__xludf.DUMMYFUNCTION("IMPORTRANGE(""https://docs.google.com/spreadsheets/d/1XL5vhW3sbDhbH9Cz0tuDiY8C3ctxq1tqvaCgkFb8cCA/edit?usp=sharing"",""อำนาจเจริญ!J329"")"),0)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IFERROR(__xludf.DUMMYFUNCTION("IMPORTRANGE(""https://docs.google.com/spreadsheets/d/1XL5vhW3sbDhbH9Cz0tuDiY8C3ctxq1tqvaCgkFb8cCA/edit?usp=sharing"",""อำนาจเจริญ!M330"")"),74860)</f>
        <v>74860</v>
      </c>
      <c r="O435" s="412">
        <f t="shared" ref="O435:O439" ca="1" si="114">+IF(L435&gt;0,N435*100/L435,0)</f>
        <v>70.622641509433961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IFERROR(__xludf.DUMMYFUNCTION("IMPORTRANGE(""https://docs.google.com/spreadsheets/d/1XL5vhW3sbDhbH9Cz0tuDiY8C3ctxq1tqvaCgkFb8cCA/edit?usp=sharing"",""อำนาจเจริญ!M332"")"),74860)</f>
        <v>74860</v>
      </c>
      <c r="O437" s="169">
        <f t="shared" ca="1" si="114"/>
        <v>70.622641509433961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IFERROR(__xludf.DUMMYFUNCTION("IMPORTRANGE(""https://docs.google.com/spreadsheets/d/1XL5vhW3sbDhbH9Cz0tuDiY8C3ctxq1tqvaCgkFb8cCA/edit?usp=sharing"",""อำนาจเจริญ!M334"")"),74860)</f>
        <v>74860</v>
      </c>
      <c r="O439" s="169">
        <f t="shared" ca="1" si="114"/>
        <v>70.622641509433961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IFERROR(__xludf.DUMMYFUNCTION("IMPORTRANGE(""https://docs.google.com/spreadsheets/d/1XL5vhW3sbDhbH9Cz0tuDiY8C3ctxq1tqvaCgkFb8cCA/edit?usp=sharing"",""อำนาจเจริญ!M335"")"),35400)</f>
        <v>35400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IFERROR(__xludf.DUMMYFUNCTION("IMPORTRANGE(""https://docs.google.com/spreadsheets/d/1XL5vhW3sbDhbH9Cz0tuDiY8C3ctxq1tqvaCgkFb8cCA/edit?usp=sharing"",""อำนาจเจริญ!M338"")"),39460)</f>
        <v>39460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IFERROR(__xludf.DUMMYFUNCTION("IMPORTRANGE(""https://docs.google.com/spreadsheets/d/1XL5vhW3sbDhbH9Cz0tuDiY8C3ctxq1tqvaCgkFb8cCA/edit?usp=sharing"",""อำนาจเจริญ!J349"")"),1)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IFERROR(__xludf.DUMMYFUNCTION("IMPORTRANGE(""https://docs.google.com/spreadsheets/d/1XL5vhW3sbDhbH9Cz0tuDiY8C3ctxq1tqvaCgkFb8cCA/edit?usp=sharing"",""อำนาจเจริญ!J350"")"),1907)</f>
        <v>1907</v>
      </c>
      <c r="K455" s="372">
        <f ca="1">IF(I455&gt;0,J455*100/I455,0)</f>
        <v>14.112336268778213</v>
      </c>
      <c r="L455" s="373">
        <f ca="1">IFERROR(__xludf.DUMMYFUNCTION("IMPORTRANGE(""https://docs.google.com/spreadsheets/d/1XL5vhW3sbDhbH9Cz0tuDiY8C3ctxq1tqvaCgkFb8cCA/edit?usp=sharing"",""อำนาจเจริญ!L350"")"),171084)</f>
        <v>171084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IFERROR(__xludf.DUMMYFUNCTION("IMPORTRANGE(""https://docs.google.com/spreadsheets/d/1XL5vhW3sbDhbH9Cz0tuDiY8C3ctxq1tqvaCgkFb8cCA/edit?usp=sharing"",""อำนาจเจริญ!M350"")"),71325)</f>
        <v>71325</v>
      </c>
      <c r="O455" s="373">
        <f t="shared" ref="O455:O459" ca="1" si="116">+IF(L455&gt;0,N455*100/L455,0)</f>
        <v>41.690046994458861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IFERROR(__xludf.DUMMYFUNCTION("IMPORTRANGE(""https://docs.google.com/spreadsheets/d/1XL5vhW3sbDhbH9Cz0tuDiY8C3ctxq1tqvaCgkFb8cCA/edit?usp=sharing"",""อำนาจเจริญ!L352"")"),171084)</f>
        <v>171084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IFERROR(__xludf.DUMMYFUNCTION("IMPORTRANGE(""https://docs.google.com/spreadsheets/d/1XL5vhW3sbDhbH9Cz0tuDiY8C3ctxq1tqvaCgkFb8cCA/edit?usp=sharing"",""อำนาจเจริญ!M352"")"),71325)</f>
        <v>71325</v>
      </c>
      <c r="O457" s="169">
        <f t="shared" ca="1" si="116"/>
        <v>41.690046994458861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IFERROR(__xludf.DUMMYFUNCTION("IMPORTRANGE(""https://docs.google.com/spreadsheets/d/1XL5vhW3sbDhbH9Cz0tuDiY8C3ctxq1tqvaCgkFb8cCA/edit?usp=sharing"",""อำนาจเจริญ!L354"")"),171084)</f>
        <v>171084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IFERROR(__xludf.DUMMYFUNCTION("IMPORTRANGE(""https://docs.google.com/spreadsheets/d/1XL5vhW3sbDhbH9Cz0tuDiY8C3ctxq1tqvaCgkFb8cCA/edit?usp=sharing"",""อำนาจเจริญ!M354"")"),71325)</f>
        <v>71325</v>
      </c>
      <c r="O459" s="169">
        <f t="shared" ca="1" si="116"/>
        <v>41.690046994458861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IFERROR(__xludf.DUMMYFUNCTION("IMPORTRANGE(""https://docs.google.com/spreadsheets/d/1XL5vhW3sbDhbH9Cz0tuDiY8C3ctxq1tqvaCgkFb8cCA/edit?usp=sharing"",""อำนาจเจริญ!M358"")"),71325)</f>
        <v>71325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IFERROR(__xludf.DUMMYFUNCTION("IMPORTRANGE(""https://docs.google.com/spreadsheets/d/1XL5vhW3sbDhbH9Cz0tuDiY8C3ctxq1tqvaCgkFb8cCA/edit?usp=sharing"",""อำนาจเจริญ!J359"")"),1907)</f>
        <v>1907</v>
      </c>
      <c r="K464" s="269">
        <f t="shared" ref="K464:K515" ca="1" si="117">IF(I464&gt;0,J464*100/I464,0)</f>
        <v>14.112336268778213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IFERROR(__xludf.DUMMYFUNCTION("IMPORTRANGE(""https://docs.google.com/spreadsheets/d/1XL5vhW3sbDhbH9Cz0tuDiY8C3ctxq1tqvaCgkFb8cCA/edit?usp=sharing"",""อำนาจเจริญ!J370"")"),11366)</f>
        <v>11366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IFERROR(__xludf.DUMMYFUNCTION("IMPORTRANGE(""https://docs.google.com/spreadsheets/d/1XL5vhW3sbDhbH9Cz0tuDiY8C3ctxq1tqvaCgkFb8cCA/edit?usp=sharing"",""อำนาจเจริญ!J372"")"),1907)</f>
        <v>1907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IFERROR(__xludf.DUMMYFUNCTION("IMPORTRANGE(""https://docs.google.com/spreadsheets/d/1XL5vhW3sbDhbH9Cz0tuDiY8C3ctxq1tqvaCgkFb8cCA/edit?usp=sharing"",""อำนาจเจริญ!J373"")"),569)</f>
        <v>569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IFERROR(__xludf.DUMMYFUNCTION("IMPORTRANGE(""https://docs.google.com/spreadsheets/d/1XL5vhW3sbDhbH9Cz0tuDiY8C3ctxq1tqvaCgkFb8cCA/edit?usp=sharing"",""อำนาจเจริญ!J374"")"),240)</f>
        <v>240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IFERROR(__xludf.DUMMYFUNCTION("IMPORTRANGE(""https://docs.google.com/spreadsheets/d/1XL5vhW3sbDhbH9Cz0tuDiY8C3ctxq1tqvaCgkFb8cCA/edit?usp=sharing"",""อำนาจเจริญ!J375"")"),70)</f>
        <v>70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IFERROR(__xludf.DUMMYFUNCTION("IMPORTRANGE(""https://docs.google.com/spreadsheets/d/1XL5vhW3sbDhbH9Cz0tuDiY8C3ctxq1tqvaCgkFb8cCA/edit?usp=sharing"",""อำนาจเจริญ!I376"")"),1907)</f>
        <v>1907</v>
      </c>
      <c r="J481" s="420">
        <f ca="1">IFERROR(__xludf.DUMMYFUNCTION("IMPORTRANGE(""https://docs.google.com/spreadsheets/d/1XL5vhW3sbDhbH9Cz0tuDiY8C3ctxq1tqvaCgkFb8cCA/edit?usp=sharing"",""อำนาจเจริญ!J376"")"),1907)</f>
        <v>1907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IFERROR(__xludf.DUMMYFUNCTION("IMPORTRANGE(""https://docs.google.com/spreadsheets/d/1XL5vhW3sbDhbH9Cz0tuDiY8C3ctxq1tqvaCgkFb8cCA/edit?usp=sharing"",""อำนาจเจริญ!I377"")"),569)</f>
        <v>569</v>
      </c>
      <c r="J482" s="420">
        <f ca="1">IFERROR(__xludf.DUMMYFUNCTION("IMPORTRANGE(""https://docs.google.com/spreadsheets/d/1XL5vhW3sbDhbH9Cz0tuDiY8C3ctxq1tqvaCgkFb8cCA/edit?usp=sharing"",""อำนาจเจริญ!J377"")"),569)</f>
        <v>569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IFERROR(__xludf.DUMMYFUNCTION("IMPORTRANGE(""https://docs.google.com/spreadsheets/d/1XL5vhW3sbDhbH9Cz0tuDiY8C3ctxq1tqvaCgkFb8cCA/edit?usp=sharing"",""อำนาจเจริญ!J378"")"),819)</f>
        <v>819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IFERROR(__xludf.DUMMYFUNCTION("IMPORTRANGE(""https://docs.google.com/spreadsheets/d/1XL5vhW3sbDhbH9Cz0tuDiY8C3ctxq1tqvaCgkFb8cCA/edit?usp=sharing"",""อำนาจเจริญ!J379"")"),180)</f>
        <v>180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IFERROR(__xludf.DUMMYFUNCTION("IMPORTRANGE(""https://docs.google.com/spreadsheets/d/1XL5vhW3sbDhbH9Cz0tuDiY8C3ctxq1tqvaCgkFb8cCA/edit?usp=sharing"",""อำนาจเจริญ!J381"")"),3)</f>
        <v>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IFERROR(__xludf.DUMMYFUNCTION("IMPORTRANGE(""https://docs.google.com/spreadsheets/d/1XL5vhW3sbDhbH9Cz0tuDiY8C3ctxq1tqvaCgkFb8cCA/edit?usp=sharing"",""อำนาจเจริญ!J382"")"),24)</f>
        <v>24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IFERROR(__xludf.DUMMYFUNCTION("IMPORTRANGE(""https://docs.google.com/spreadsheets/d/1XL5vhW3sbDhbH9Cz0tuDiY8C3ctxq1tqvaCgkFb8cCA/edit?usp=sharing"",""อำนาจเจริญ!J384"")"),24)</f>
        <v>24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IFERROR(__xludf.DUMMYFUNCTION("IMPORTRANGE(""https://docs.google.com/spreadsheets/d/1XL5vhW3sbDhbH9Cz0tuDiY8C3ctxq1tqvaCgkFb8cCA/edit?usp=sharing"",""อำนาจเจริญ!J388"")"),1038)</f>
        <v>1038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IFERROR(__xludf.DUMMYFUNCTION("IMPORTRANGE(""https://docs.google.com/spreadsheets/d/1XL5vhW3sbDhbH9Cz0tuDiY8C3ctxq1tqvaCgkFb8cCA/edit?usp=sharing"",""อำนาจเจริญ!J389"")"),382)</f>
        <v>382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IFERROR(__xludf.DUMMYFUNCTION("IMPORTRANGE(""https://docs.google.com/spreadsheets/d/1XL5vhW3sbDhbH9Cz0tuDiY8C3ctxq1tqvaCgkFb8cCA/edit?usp=sharing"",""อำนาจเจริญ!I392"")"),1218)</f>
        <v>1218</v>
      </c>
      <c r="J497" s="443">
        <f ca="1">IFERROR(__xludf.DUMMYFUNCTION("IMPORTRANGE(""https://docs.google.com/spreadsheets/d/1XL5vhW3sbDhbH9Cz0tuDiY8C3ctxq1tqvaCgkFb8cCA/edit?usp=sharing"",""อำนาจเจริญ!J392"")"),1186)</f>
        <v>1186</v>
      </c>
      <c r="K497" s="444">
        <f t="shared" ca="1" si="117"/>
        <v>97.372742200328403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IFERROR(__xludf.DUMMYFUNCTION("IMPORTRANGE(""https://docs.google.com/spreadsheets/d/1XL5vhW3sbDhbH9Cz0tuDiY8C3ctxq1tqvaCgkFb8cCA/edit?usp=sharing"",""อำนาจเจริญ!I393"")"),1218)</f>
        <v>1218</v>
      </c>
      <c r="J498" s="420">
        <f ca="1">IFERROR(__xludf.DUMMYFUNCTION("IMPORTRANGE(""https://docs.google.com/spreadsheets/d/1XL5vhW3sbDhbH9Cz0tuDiY8C3ctxq1tqvaCgkFb8cCA/edit?usp=sharing"",""อำนาจเจริญ!J393"")"),1186)</f>
        <v>1186</v>
      </c>
      <c r="K498" s="202">
        <f t="shared" ca="1" si="117"/>
        <v>97.372742200328403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IFERROR(__xludf.DUMMYFUNCTION("IMPORTRANGE(""https://docs.google.com/spreadsheets/d/1XL5vhW3sbDhbH9Cz0tuDiY8C3ctxq1tqvaCgkFb8cCA/edit?usp=sharing"",""อำนาจเจริญ!J394"")"),103)</f>
        <v>103</v>
      </c>
      <c r="K499" s="202">
        <f t="shared" ca="1" si="117"/>
        <v>97.169811320754718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IFERROR(__xludf.DUMMYFUNCTION("IMPORTRANGE(""https://docs.google.com/spreadsheets/d/1XL5vhW3sbDhbH9Cz0tuDiY8C3ctxq1tqvaCgkFb8cCA/edit?usp=sharing"",""อำนาจเจริญ!J395"")"),1149)</f>
        <v>1149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IFERROR(__xludf.DUMMYFUNCTION("IMPORTRANGE(""https://docs.google.com/spreadsheets/d/1XL5vhW3sbDhbH9Cz0tuDiY8C3ctxq1tqvaCgkFb8cCA/edit?usp=sharing"",""อำนาจเจริญ!J396"")"),98)</f>
        <v>98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IFERROR(__xludf.DUMMYFUNCTION("IMPORTRANGE(""https://docs.google.com/spreadsheets/d/1XL5vhW3sbDhbH9Cz0tuDiY8C3ctxq1tqvaCgkFb8cCA/edit?usp=sharing"",""อำนาจเจริญ!J397"")"),1149)</f>
        <v>1149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IFERROR(__xludf.DUMMYFUNCTION("IMPORTRANGE(""https://docs.google.com/spreadsheets/d/1XL5vhW3sbDhbH9Cz0tuDiY8C3ctxq1tqvaCgkFb8cCA/edit?usp=sharing"",""อำนาจเจริญ!J398"")"),98)</f>
        <v>98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IFERROR(__xludf.DUMMYFUNCTION("IMPORTRANGE(""https://docs.google.com/spreadsheets/d/1XL5vhW3sbDhbH9Cz0tuDiY8C3ctxq1tqvaCgkFb8cCA/edit?usp=sharing"",""อำนาจเจริญ!J403"")"),37)</f>
        <v>37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IFERROR(__xludf.DUMMYFUNCTION("IMPORTRANGE(""https://docs.google.com/spreadsheets/d/1XL5vhW3sbDhbH9Cz0tuDiY8C3ctxq1tqvaCgkFb8cCA/edit?usp=sharing"",""อำนาจเจริญ!J404"")"),5)</f>
        <v>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IFERROR(__xludf.DUMMYFUNCTION("IMPORTRANGE(""https://docs.google.com/spreadsheets/d/1XL5vhW3sbDhbH9Cz0tuDiY8C3ctxq1tqvaCgkFb8cCA/edit?usp=sharing"",""อำนาจเจริญ!J407"")"),32)</f>
        <v>32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IFERROR(__xludf.DUMMYFUNCTION("IMPORTRANGE(""https://docs.google.com/spreadsheets/d/1XL5vhW3sbDhbH9Cz0tuDiY8C3ctxq1tqvaCgkFb8cCA/edit?usp=sharing"",""อำนาจเจริญ!J408"")"),3)</f>
        <v>3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IFERROR(__xludf.DUMMYFUNCTION("IMPORTRANGE(""https://docs.google.com/spreadsheets/d/1XL5vhW3sbDhbH9Cz0tuDiY8C3ctxq1tqvaCgkFb8cCA/edit?usp=sharing"",""อำนาจเจริญ!I412"")"),0)</f>
        <v>0</v>
      </c>
      <c r="J517" s="285">
        <f ca="1">IFERROR(__xludf.DUMMYFUNCTION("IMPORTRANGE(""https://docs.google.com/spreadsheets/d/1XL5vhW3sbDhbH9Cz0tuDiY8C3ctxq1tqvaCgkFb8cCA/edit?usp=sharing"",""อำนาจเจริญ!J412"")"),0)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IFERROR(__xludf.DUMMYFUNCTION("IMPORTRANGE(""https://docs.google.com/spreadsheets/d/1XL5vhW3sbDhbH9Cz0tuDiY8C3ctxq1tqvaCgkFb8cCA/edit?usp=sharing"",""อำนาจเจริญ!I413"")"),0)</f>
        <v>0</v>
      </c>
      <c r="J518" s="285">
        <f ca="1">IFERROR(__xludf.DUMMYFUNCTION("IMPORTRANGE(""https://docs.google.com/spreadsheets/d/1XL5vhW3sbDhbH9Cz0tuDiY8C3ctxq1tqvaCgkFb8cCA/edit?usp=sharing"",""อำนาจเจริญ!J413"")"),0)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IFERROR(__xludf.DUMMYFUNCTION("IMPORTRANGE(""https://docs.google.com/spreadsheets/d/1XL5vhW3sbDhbH9Cz0tuDiY8C3ctxq1tqvaCgkFb8cCA/edit?usp=sharing"",""อำนาจเจริญ!J418"")"),42)</f>
        <v>42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IFERROR(__xludf.DUMMYFUNCTION("IMPORTRANGE(""https://docs.google.com/spreadsheets/d/1XL5vhW3sbDhbH9Cz0tuDiY8C3ctxq1tqvaCgkFb8cCA/edit?usp=sharing"",""อำนาจเจริญ!I420"")"),42)</f>
        <v>42</v>
      </c>
      <c r="J525" s="285">
        <f ca="1">IFERROR(__xludf.DUMMYFUNCTION("IMPORTRANGE(""https://docs.google.com/spreadsheets/d/1XL5vhW3sbDhbH9Cz0tuDiY8C3ctxq1tqvaCgkFb8cCA/edit?usp=sharing"",""อำนาจเจริญ!J420"")"),41.89)</f>
        <v>41.89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IFERROR(__xludf.DUMMYFUNCTION("IMPORTRANGE(""https://docs.google.com/spreadsheets/d/1XL5vhW3sbDhbH9Cz0tuDiY8C3ctxq1tqvaCgkFb8cCA/edit?usp=sharing"",""อำนาจเจริญ!I421"")"),6)</f>
        <v>6</v>
      </c>
      <c r="J526" s="285">
        <f ca="1">IFERROR(__xludf.DUMMYFUNCTION("IMPORTRANGE(""https://docs.google.com/spreadsheets/d/1XL5vhW3sbDhbH9Cz0tuDiY8C3ctxq1tqvaCgkFb8cCA/edit?usp=sharing"",""อำนาจเจริญ!J421"")"),6)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IFERROR(__xludf.DUMMYFUNCTION("IMPORTRANGE(""https://docs.google.com/spreadsheets/d/1XL5vhW3sbDhbH9Cz0tuDiY8C3ctxq1tqvaCgkFb8cCA/edit?usp=sharing"",""อำนาจเจริญ!J422"")"),16.4)</f>
        <v>16.399999999999999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IFERROR(__xludf.DUMMYFUNCTION("IMPORTRANGE(""https://docs.google.com/spreadsheets/d/1XL5vhW3sbDhbH9Cz0tuDiY8C3ctxq1tqvaCgkFb8cCA/edit?usp=sharing"",""อำนาจเจริญ!J423"")"),3)</f>
        <v>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IFERROR(__xludf.DUMMYFUNCTION("IMPORTRANGE(""https://docs.google.com/spreadsheets/d/1XL5vhW3sbDhbH9Cz0tuDiY8C3ctxq1tqvaCgkFb8cCA/edit?usp=sharing"",""อำนาจเจริญ!J424"")"),25.49)</f>
        <v>25.49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IFERROR(__xludf.DUMMYFUNCTION("IMPORTRANGE(""https://docs.google.com/spreadsheets/d/1XL5vhW3sbDhbH9Cz0tuDiY8C3ctxq1tqvaCgkFb8cCA/edit?usp=sharing"",""อำนาจเจริญ!J459"")"),1630)</f>
        <v>1630</v>
      </c>
      <c r="K564" s="372">
        <f ca="1">IF(I564&gt;0,J564*100/I564,0)</f>
        <v>111.64383561643835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IFERROR(__xludf.DUMMYFUNCTION("IMPORTRANGE(""https://docs.google.com/spreadsheets/d/1XL5vhW3sbDhbH9Cz0tuDiY8C3ctxq1tqvaCgkFb8cCA/edit?usp=sharing"",""อำนาจเจริญ!M459"")"),104345)</f>
        <v>104345</v>
      </c>
      <c r="O564" s="373">
        <f t="shared" ref="O564:O568" ca="1" si="122">+IF(L564&gt;0,N564*100/L564,0)</f>
        <v>81.980672532998113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IFERROR(__xludf.DUMMYFUNCTION("IMPORTRANGE(""https://docs.google.com/spreadsheets/d/1XL5vhW3sbDhbH9Cz0tuDiY8C3ctxq1tqvaCgkFb8cCA/edit?usp=sharing"",""อำนาจเจริญ!M461"")"),104345)</f>
        <v>104345</v>
      </c>
      <c r="O566" s="169">
        <f t="shared" ca="1" si="122"/>
        <v>81.980672532998113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IFERROR(__xludf.DUMMYFUNCTION("IMPORTRANGE(""https://docs.google.com/spreadsheets/d/1XL5vhW3sbDhbH9Cz0tuDiY8C3ctxq1tqvaCgkFb8cCA/edit?usp=sharing"",""อำนาจเจริญ!M463"")"),104345)</f>
        <v>104345</v>
      </c>
      <c r="O568" s="169">
        <f t="shared" ca="1" si="122"/>
        <v>81.980672532998113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IFERROR(__xludf.DUMMYFUNCTION("IMPORTRANGE(""https://docs.google.com/spreadsheets/d/1XL5vhW3sbDhbH9Cz0tuDiY8C3ctxq1tqvaCgkFb8cCA/edit?usp=sharing"",""อำนาจเจริญ!M466"")"),86250)</f>
        <v>86250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IFERROR(__xludf.DUMMYFUNCTION("IMPORTRANGE(""https://docs.google.com/spreadsheets/d/1XL5vhW3sbDhbH9Cz0tuDiY8C3ctxq1tqvaCgkFb8cCA/edit?usp=sharing"",""อำนาจเจริญ!M467"")"),18095)</f>
        <v>18095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IFERROR(__xludf.DUMMYFUNCTION("IMPORTRANGE(""https://docs.google.com/spreadsheets/d/1XL5vhW3sbDhbH9Cz0tuDiY8C3ctxq1tqvaCgkFb8cCA/edit?usp=sharing"",""อำนาจเจริญ!J468"")"),1630)</f>
        <v>1630</v>
      </c>
      <c r="K573" s="202">
        <f ca="1">IF(I573&gt;0,J573*100/I573,0)</f>
        <v>111.64383561643835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IFERROR(__xludf.DUMMYFUNCTION("IMPORTRANGE(""https://docs.google.com/spreadsheets/d/1XL5vhW3sbDhbH9Cz0tuDiY8C3ctxq1tqvaCgkFb8cCA/edit?usp=sharing"",""อำนาจเจริญ!J471"")"),178)</f>
        <v>178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IFERROR(__xludf.DUMMYFUNCTION("IMPORTRANGE(""https://docs.google.com/spreadsheets/d/1XL5vhW3sbDhbH9Cz0tuDiY8C3ctxq1tqvaCgkFb8cCA/edit?usp=sharing"",""อำนาจเจริญ!J472"")"),1451)</f>
        <v>1451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8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21.978021978021978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21.978021978021978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21.978021978021978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IFERROR(__xludf.DUMMYFUNCTION("IMPORTRANGE(""https://docs.google.com/spreadsheets/d/1XL5vhW3sbDhbH9Cz0tuDiY8C3ctxq1tqvaCgkFb8cCA/edit?usp=sharing"",""อำนาจเจริญ!J166"")"),0)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IFERROR(__xludf.DUMMYFUNCTION("IMPORTRANGE(""https://docs.google.com/spreadsheets/d/1XL5vhW3sbDhbH9Cz0tuDiY8C3ctxq1tqvaCgkFb8cCA/edit?usp=sharing"",""อำนาจเจริญ!J166"")"),0)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IFERROR(__xludf.DUMMYFUNCTION("IMPORTRANGE(""https://docs.google.com/spreadsheets/d/1XL5vhW3sbDhbH9Cz0tuDiY8C3ctxq1tqvaCgkFb8cCA/edit?usp=sharing"",""อำนาจเจริญ!J510"")"),18)</f>
        <v>18</v>
      </c>
      <c r="K615" s="163">
        <f t="shared" ca="1" si="127"/>
        <v>36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2">
        <f ca="1">IFERROR(__xludf.DUMMYFUNCTION("IMPORTRANGE(""https://docs.google.com/spreadsheets/d/1XL5vhW3sbDhbH9Cz0tuDiY8C3ctxq1tqvaCgkFb8cCA/edit?usp=sharing"",""อำนาจเจริญ!J523"")"),3849484.27)</f>
        <v>3849484.27</v>
      </c>
      <c r="K628" s="343">
        <f t="shared" ref="K628:K635" ca="1" si="129">IF(I628&gt;0,J628*100/I628,0)</f>
        <v>95.997130962085535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IFERROR(__xludf.DUMMYFUNCTION("IMPORTRANGE(""https://docs.google.com/spreadsheets/d/1XL5vhW3sbDhbH9Cz0tuDiY8C3ctxq1tqvaCgkFb8cCA/edit?usp=sharing"",""อำนาจเจริญ!I524"")"),351)</f>
        <v>351</v>
      </c>
      <c r="J629" s="342">
        <f ca="1">IFERROR(__xludf.DUMMYFUNCTION("IMPORTRANGE(""https://docs.google.com/spreadsheets/d/1XL5vhW3sbDhbH9Cz0tuDiY8C3ctxq1tqvaCgkFb8cCA/edit?usp=sharing"",""อำนาจเจริญ!J524"")"),332)</f>
        <v>332</v>
      </c>
      <c r="K629" s="343">
        <f t="shared" ca="1" si="129"/>
        <v>94.586894586894587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2">
        <f ca="1">IFERROR(__xludf.DUMMYFUNCTION("IMPORTRANGE(""https://docs.google.com/spreadsheets/d/1XL5vhW3sbDhbH9Cz0tuDiY8C3ctxq1tqvaCgkFb8cCA/edit?usp=sharing"",""อำนาจเจริญ!J525"")"),772141.26)</f>
        <v>772141.26</v>
      </c>
      <c r="K630" s="343">
        <f t="shared" ca="1" si="129"/>
        <v>19.815147003776513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IFERROR(__xludf.DUMMYFUNCTION("IMPORTRANGE(""https://docs.google.com/spreadsheets/d/1XL5vhW3sbDhbH9Cz0tuDiY8C3ctxq1tqvaCgkFb8cCA/edit?usp=sharing"",""อำนาจเจริญ!I526"")"),221)</f>
        <v>221</v>
      </c>
      <c r="J631" s="342">
        <f ca="1">IFERROR(__xludf.DUMMYFUNCTION("IMPORTRANGE(""https://docs.google.com/spreadsheets/d/1XL5vhW3sbDhbH9Cz0tuDiY8C3ctxq1tqvaCgkFb8cCA/edit?usp=sharing"",""อำนาจเจริญ!J526"")"),140)</f>
        <v>140</v>
      </c>
      <c r="K631" s="343">
        <f t="shared" ca="1" si="129"/>
        <v>63.348416289592762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IFERROR(__xludf.DUMMYFUNCTION("IMPORTRANGE(""https://docs.google.com/spreadsheets/d/1XL5vhW3sbDhbH9Cz0tuDiY8C3ctxq1tqvaCgkFb8cCA/edit?usp=sharing"",""อำนาจเจริญ!I527"")"),0)</f>
        <v>0</v>
      </c>
      <c r="J632" s="342">
        <f ca="1">IFERROR(__xludf.DUMMYFUNCTION("IMPORTRANGE(""https://docs.google.com/spreadsheets/d/1XL5vhW3sbDhbH9Cz0tuDiY8C3ctxq1tqvaCgkFb8cCA/edit?usp=sharing"",""อำนาจเจริญ!J527"")"),32300.98)</f>
        <v>32300.98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IFERROR(__xludf.DUMMYFUNCTION("IMPORTRANGE(""https://docs.google.com/spreadsheets/d/1XL5vhW3sbDhbH9Cz0tuDiY8C3ctxq1tqvaCgkFb8cCA/edit?usp=sharing"",""อำนาจเจริญ!I528"")"),0)</f>
        <v>0</v>
      </c>
      <c r="J633" s="342">
        <f ca="1">IFERROR(__xludf.DUMMYFUNCTION("IMPORTRANGE(""https://docs.google.com/spreadsheets/d/1XL5vhW3sbDhbH9Cz0tuDiY8C3ctxq1tqvaCgkFb8cCA/edit?usp=sharing"",""อำนาจเจริญ!J528"")"),6)</f>
        <v>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2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IFERROR(__xludf.DUMMYFUNCTION("IMPORTRANGE(""https://docs.google.com/spreadsheets/d/1XL5vhW3sbDhbH9Cz0tuDiY8C3ctxq1tqvaCgkFb8cCA/edit?usp=sharing"",""อำนาจเจริญ!I530"")"),150)</f>
        <v>150</v>
      </c>
      <c r="J635" s="505">
        <f ca="1">IFERROR(__xludf.DUMMYFUNCTION("IMPORTRANGE(""https://docs.google.com/spreadsheets/d/1XL5vhW3sbDhbH9Cz0tuDiY8C3ctxq1tqvaCgkFb8cCA/edit?usp=sharing"",""อำนาจเจริญ!J530"")"),155)</f>
        <v>155</v>
      </c>
      <c r="K635" s="487">
        <f t="shared" ca="1" si="129"/>
        <v>103.33333333333333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IFERROR(__xludf.DUMMYFUNCTION("IMPORTRANGE(""https://docs.google.com/spreadsheets/d/1XL5vhW3sbDhbH9Cz0tuDiY8C3ctxq1tqvaCgkFb8cCA/edit#gid=346597447"",""อำนาจเจริญ!J541"")"),0)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IFERROR(__xludf.DUMMYFUNCTION("IMPORTRANGE(""https://docs.google.com/spreadsheets/d/1XL5vhW3sbDhbH9Cz0tuDiY8C3ctxq1tqvaCgkFb8cCA/edit#gid=346597447"",""อำนาจเจริญ!J542"")"),0)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IFERROR(__xludf.DUMMYFUNCTION("IMPORTRANGE(""https://docs.google.com/spreadsheets/d/1XL5vhW3sbDhbH9Cz0tuDiY8C3ctxq1tqvaCgkFb8cCA/edit#gid=346597447"",""อำนาจเจริญ!I543"")"),0)</f>
        <v>0</v>
      </c>
      <c r="J648" s="586">
        <f ca="1">IFERROR(__xludf.DUMMYFUNCTION("IMPORTRANGE(""https://docs.google.com/spreadsheets/d/1XL5vhW3sbDhbH9Cz0tuDiY8C3ctxq1tqvaCgkFb8cCA/edit#gid=346597447"",""อำนาจเจริญ!J543"")"),0)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IFERROR(__xludf.DUMMYFUNCTION("IMPORTRANGE(""https://docs.google.com/spreadsheets/d/1XL5vhW3sbDhbH9Cz0tuDiY8C3ctxq1tqvaCgkFb8cCA/edit#gid=346597447"",""อำนาจเจริญ!L543"")"),0)</f>
        <v>0</v>
      </c>
      <c r="M648" s="571"/>
      <c r="N648" s="588">
        <f ca="1">IFERROR(__xludf.DUMMYFUNCTION("IMPORTRANGE(""https://docs.google.com/spreadsheets/d/1XL5vhW3sbDhbH9Cz0tuDiY8C3ctxq1tqvaCgkFb8cCA/edit#gid=346597447"",""อำนาจเจริญ!M543"")"),0)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IFERROR(__xludf.DUMMYFUNCTION("IMPORTRANGE(""https://docs.google.com/spreadsheets/d/1XL5vhW3sbDhbH9Cz0tuDiY8C3ctxq1tqvaCgkFb8cCA/edit#gid=346597447"",""อำนาจเจริญ!I544"")"),0)</f>
        <v>0</v>
      </c>
      <c r="J649" s="586">
        <f ca="1">IFERROR(__xludf.DUMMYFUNCTION("IMPORTRANGE(""https://docs.google.com/spreadsheets/d/1XL5vhW3sbDhbH9Cz0tuDiY8C3ctxq1tqvaCgkFb8cCA/edit#gid=346597447"",""อำนาจเจริญ!J544"")"),0)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IFERROR(__xludf.DUMMYFUNCTION("IMPORTRANGE(""https://docs.google.com/spreadsheets/d/1XL5vhW3sbDhbH9Cz0tuDiY8C3ctxq1tqvaCgkFb8cCA/edit#gid=346597447"",""อำนาจเจริญ!L544"")"),0)</f>
        <v>0</v>
      </c>
      <c r="M649" s="571"/>
      <c r="N649" s="588">
        <f ca="1">IFERROR(__xludf.DUMMYFUNCTION("IMPORTRANGE(""https://docs.google.com/spreadsheets/d/1XL5vhW3sbDhbH9Cz0tuDiY8C3ctxq1tqvaCgkFb8cCA/edit#gid=346597447"",""อำนาจเจริญ!M544"")"),0)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IFERROR(__xludf.DUMMYFUNCTION("IMPORTRANGE(""https://docs.google.com/spreadsheets/d/1XL5vhW3sbDhbH9Cz0tuDiY8C3ctxq1tqvaCgkFb8cCA/edit#gid=346597447"",""อำนาจเจริญ!I545"")"),0)</f>
        <v>0</v>
      </c>
      <c r="J650" s="586">
        <f ca="1">IFERROR(__xludf.DUMMYFUNCTION("IMPORTRANGE(""https://docs.google.com/spreadsheets/d/1XL5vhW3sbDhbH9Cz0tuDiY8C3ctxq1tqvaCgkFb8cCA/edit#gid=346597447"",""อำนาจเจริญ!J545"")"),0)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IFERROR(__xludf.DUMMYFUNCTION("IMPORTRANGE(""https://docs.google.com/spreadsheets/d/1XL5vhW3sbDhbH9Cz0tuDiY8C3ctxq1tqvaCgkFb8cCA/edit#gid=346597447"",""อำนาจเจริญ!L545"")"),0)</f>
        <v>0</v>
      </c>
      <c r="M650" s="571"/>
      <c r="N650" s="588">
        <f ca="1">IFERROR(__xludf.DUMMYFUNCTION("IMPORTRANGE(""https://docs.google.com/spreadsheets/d/1XL5vhW3sbDhbH9Cz0tuDiY8C3ctxq1tqvaCgkFb8cCA/edit#gid=346597447"",""อำนาจเจริญ!M545"")"),0)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IFERROR(__xludf.DUMMYFUNCTION("IMPORTRANGE(""https://docs.google.com/spreadsheets/d/1XL5vhW3sbDhbH9Cz0tuDiY8C3ctxq1tqvaCgkFb8cCA/edit#gid=346597447"",""อำนาจเจริญ!I546"")"),0)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IFERROR(__xludf.DUMMYFUNCTION("IMPORTRANGE(""https://docs.google.com/spreadsheets/d/1XL5vhW3sbDhbH9Cz0tuDiY8C3ctxq1tqvaCgkFb8cCA/edit#gid=346597447"",""อำนาจเจริญ!L546"")"),0)</f>
        <v>0</v>
      </c>
      <c r="M651" s="571"/>
      <c r="N651" s="588">
        <f ca="1">IFERROR(__xludf.DUMMYFUNCTION("IMPORTRANGE(""https://docs.google.com/spreadsheets/d/1XL5vhW3sbDhbH9Cz0tuDiY8C3ctxq1tqvaCgkFb8cCA/edit#gid=346597447"",""อำนาจเจริญ!M546"")"),0)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IFERROR(__xludf.DUMMYFUNCTION("IMPORTRANGE(""https://docs.google.com/spreadsheets/d/1XL5vhW3sbDhbH9Cz0tuDiY8C3ctxq1tqvaCgkFb8cCA/edit#gid=346597447"",""อำนาจเจริญ!J547"")"),0)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IFERROR(__xludf.DUMMYFUNCTION("IMPORTRANGE(""https://docs.google.com/spreadsheets/d/1XL5vhW3sbDhbH9Cz0tuDiY8C3ctxq1tqvaCgkFb8cCA/edit#gid=346597447"",""อำนาจเจริญ!J548"")"),0)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IFERROR(__xludf.DUMMYFUNCTION("IMPORTRANGE(""https://docs.google.com/spreadsheets/d/1XL5vhW3sbDhbH9Cz0tuDiY8C3ctxq1tqvaCgkFb8cCA/edit#gid=346597447"",""อำนาจเจริญ!J550"")"),0)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IFERROR(__xludf.DUMMYFUNCTION("IMPORTRANGE(""https://docs.google.com/spreadsheets/d/1XL5vhW3sbDhbH9Cz0tuDiY8C3ctxq1tqvaCgkFb8cCA/edit#gid=346597447"",""อำนาจเจริญ!J551"")"),0)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IFERROR(__xludf.DUMMYFUNCTION("IMPORTRANGE(""https://docs.google.com/spreadsheets/d/1XL5vhW3sbDhbH9Cz0tuDiY8C3ctxq1tqvaCgkFb8cCA/edit#gid=346597447"",""อำนาจเจริญ!J552"")"),0)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IFERROR(__xludf.DUMMYFUNCTION("IMPORTRANGE(""https://docs.google.com/spreadsheets/d/1XL5vhW3sbDhbH9Cz0tuDiY8C3ctxq1tqvaCgkFb8cCA/edit#gid=346597447"",""อำนาจเจริญ!J553"")"),0)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IFERROR(__xludf.DUMMYFUNCTION("IMPORTRANGE(""https://docs.google.com/spreadsheets/d/1XL5vhW3sbDhbH9Cz0tuDiY8C3ctxq1tqvaCgkFb8cCA/edit#gid=346597447"",""อำนาจเจริญ!J554"")"),0)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IFERROR(__xludf.DUMMYFUNCTION("IMPORTRANGE(""https://docs.google.com/spreadsheets/d/1XL5vhW3sbDhbH9Cz0tuDiY8C3ctxq1tqvaCgkFb8cCA/edit#gid=346597447"",""อำนาจเจริญ!J555"")"),0)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IFERROR(__xludf.DUMMYFUNCTION("IMPORTRANGE(""https://docs.google.com/spreadsheets/d/1XL5vhW3sbDhbH9Cz0tuDiY8C3ctxq1tqvaCgkFb8cCA/edit#gid=346597447"",""อำนาจเจริญ!J556"")"),0)</f>
        <v>0</v>
      </c>
      <c r="K661" s="587"/>
      <c r="L661" s="572">
        <f ca="1">IFERROR(__xludf.DUMMYFUNCTION("IMPORTRANGE(""https://docs.google.com/spreadsheets/d/1XL5vhW3sbDhbH9Cz0tuDiY8C3ctxq1tqvaCgkFb8cCA/edit#gid=346597447"",""อำนาจเจริญ!L556"")"),0)</f>
        <v>0</v>
      </c>
      <c r="M661" s="571"/>
      <c r="N661" s="588">
        <f ca="1">IFERROR(__xludf.DUMMYFUNCTION("IMPORTRANGE(""https://docs.google.com/spreadsheets/d/1XL5vhW3sbDhbH9Cz0tuDiY8C3ctxq1tqvaCgkFb8cCA/edit#gid=346597447"",""อำนาจเจริญ!M556"")"),0)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IFERROR(__xludf.DUMMYFUNCTION("IMPORTRANGE(""https://docs.google.com/spreadsheets/d/1XL5vhW3sbDhbH9Cz0tuDiY8C3ctxq1tqvaCgkFb8cCA/edit#gid=346597447"",""อำนาจเจริญ!J557"")"),0)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IFERROR(__xludf.DUMMYFUNCTION("IMPORTRANGE(""https://docs.google.com/spreadsheets/d/1XL5vhW3sbDhbH9Cz0tuDiY8C3ctxq1tqvaCgkFb8cCA/edit#gid=346597447"",""อำนาจเจริญ!I558"")"),0)</f>
        <v>0</v>
      </c>
      <c r="J663" s="586">
        <f ca="1">IFERROR(__xludf.DUMMYFUNCTION("IMPORTRANGE(""https://docs.google.com/spreadsheets/d/1XL5vhW3sbDhbH9Cz0tuDiY8C3ctxq1tqvaCgkFb8cCA/edit#gid=346597447"",""อำนาจเจริญ!J558"")"),0)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IFERROR(__xludf.DUMMYFUNCTION("IMPORTRANGE(""https://docs.google.com/spreadsheets/d/1XL5vhW3sbDhbH9Cz0tuDiY8C3ctxq1tqvaCgkFb8cCA/edit#gid=346597447"",""อำนาจเจริญ!I560"")"),0)</f>
        <v>0</v>
      </c>
      <c r="J665" s="586">
        <f ca="1">IFERROR(__xludf.DUMMYFUNCTION("IMPORTRANGE(""https://docs.google.com/spreadsheets/d/1XL5vhW3sbDhbH9Cz0tuDiY8C3ctxq1tqvaCgkFb8cCA/edit#gid=346597447"",""อำนาจเจริญ!J560"")"),0)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IFERROR(__xludf.DUMMYFUNCTION("IMPORTRANGE(""https://docs.google.com/spreadsheets/d/1XL5vhW3sbDhbH9Cz0tuDiY8C3ctxq1tqvaCgkFb8cCA/edit#gid=346597447"",""อำนาจเจริญ!L560"")"),0)</f>
        <v>0</v>
      </c>
      <c r="M665" s="571"/>
      <c r="N665" s="588">
        <f ca="1">IFERROR(__xludf.DUMMYFUNCTION("IMPORTRANGE(""https://docs.google.com/spreadsheets/d/1XL5vhW3sbDhbH9Cz0tuDiY8C3ctxq1tqvaCgkFb8cCA/edit#gid=346597447"",""อำนาจเจริญ!M560"")"),0)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IFERROR(__xludf.DUMMYFUNCTION("IMPORTRANGE(""https://docs.google.com/spreadsheets/d/1XL5vhW3sbDhbH9Cz0tuDiY8C3ctxq1tqvaCgkFb8cCA/edit#gid=346597447"",""อำนาจเจริญ!J561"")"),0)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IFERROR(__xludf.DUMMYFUNCTION("IMPORTRANGE(""https://docs.google.com/spreadsheets/d/1XL5vhW3sbDhbH9Cz0tuDiY8C3ctxq1tqvaCgkFb8cCA/edit#gid=346597447"",""อำนาจเจริญ!J562"")"),0)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IFERROR(__xludf.DUMMYFUNCTION("IMPORTRANGE(""https://docs.google.com/spreadsheets/d/1XL5vhW3sbDhbH9Cz0tuDiY8C3ctxq1tqvaCgkFb8cCA/edit#gid=346597447"",""อำนาจเจริญ!I563"")"),0)</f>
        <v>0</v>
      </c>
      <c r="J668" s="586">
        <f ca="1">IFERROR(__xludf.DUMMYFUNCTION("IMPORTRANGE(""https://docs.google.com/spreadsheets/d/1XL5vhW3sbDhbH9Cz0tuDiY8C3ctxq1tqvaCgkFb8cCA/edit#gid=346597447"",""อำนาจเจริญ!J563"")"),0)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IFERROR(__xludf.DUMMYFUNCTION("IMPORTRANGE(""https://docs.google.com/spreadsheets/d/1XL5vhW3sbDhbH9Cz0tuDiY8C3ctxq1tqvaCgkFb8cCA/edit#gid=346597447"",""อำนาจเจริญ!L563"")"),0)</f>
        <v>0</v>
      </c>
      <c r="M668" s="571"/>
      <c r="N668" s="588">
        <f ca="1">IFERROR(__xludf.DUMMYFUNCTION("IMPORTRANGE(""https://docs.google.com/spreadsheets/d/1XL5vhW3sbDhbH9Cz0tuDiY8C3ctxq1tqvaCgkFb8cCA/edit#gid=346597447"",""อำนาจเจริญ!M563"")"),0)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IFERROR(__xludf.DUMMYFUNCTION("IMPORTRANGE(""https://docs.google.com/spreadsheets/d/1XL5vhW3sbDhbH9Cz0tuDiY8C3ctxq1tqvaCgkFb8cCA/edit#gid=346597447"",""อำนาจเจริญ!J564"")"),0)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IFERROR(__xludf.DUMMYFUNCTION("IMPORTRANGE(""https://docs.google.com/spreadsheets/d/1XL5vhW3sbDhbH9Cz0tuDiY8C3ctxq1tqvaCgkFb8cCA/edit#gid=346597447"",""อำนาจเจริญ!J565"")"),0)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IFERROR(__xludf.DUMMYFUNCTION("IMPORTRANGE(""https://docs.google.com/spreadsheets/d/1XL5vhW3sbDhbH9Cz0tuDiY8C3ctxq1tqvaCgkFb8cCA/edit#gid=346597447"",""อำนาจเจริญ!I566"")"),0)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IFERROR(__xludf.DUMMYFUNCTION("IMPORTRANGE(""https://docs.google.com/spreadsheets/d/1XL5vhW3sbDhbH9Cz0tuDiY8C3ctxq1tqvaCgkFb8cCA/edit#gid=346597447"",""อำนาจเจริญ!L566"")"),0)</f>
        <v>0</v>
      </c>
      <c r="M671" s="571"/>
      <c r="N671" s="588">
        <f ca="1">IFERROR(__xludf.DUMMYFUNCTION("IMPORTRANGE(""https://docs.google.com/spreadsheets/d/1XL5vhW3sbDhbH9Cz0tuDiY8C3ctxq1tqvaCgkFb8cCA/edit#gid=346597447"",""อำนาจเจริญ!M566"")"),0)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IFERROR(__xludf.DUMMYFUNCTION("IMPORTRANGE(""https://docs.google.com/spreadsheets/d/1XL5vhW3sbDhbH9Cz0tuDiY8C3ctxq1tqvaCgkFb8cCA/edit#gid=346597447"",""อำนาจเจริญ!J567"")"),0)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IFERROR(__xludf.DUMMYFUNCTION("IMPORTRANGE(""https://docs.google.com/spreadsheets/d/1XL5vhW3sbDhbH9Cz0tuDiY8C3ctxq1tqvaCgkFb8cCA/edit#gid=346597447"",""อำนาจเจริญ!J568"")"),0)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IFERROR(__xludf.DUMMYFUNCTION("IMPORTRANGE(""https://docs.google.com/spreadsheets/d/1XL5vhW3sbDhbH9Cz0tuDiY8C3ctxq1tqvaCgkFb8cCA/edit#gid=346597447"",""อำนาจเจริญ!J569"")"),0)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IFERROR(__xludf.DUMMYFUNCTION("IMPORTRANGE(""https://docs.google.com/spreadsheets/d/1XL5vhW3sbDhbH9Cz0tuDiY8C3ctxq1tqvaCgkFb8cCA/edit#gid=346597447"",""อำนาจเจริญ!J570"")"),0)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IFERROR(__xludf.DUMMYFUNCTION("IMPORTRANGE(""https://docs.google.com/spreadsheets/d/1XL5vhW3sbDhbH9Cz0tuDiY8C3ctxq1tqvaCgkFb8cCA/edit#gid=346597447"",""อำนาจเจริญ!J571"")"),0)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IFERROR(__xludf.DUMMYFUNCTION("IMPORTRANGE(""https://docs.google.com/spreadsheets/d/1XL5vhW3sbDhbH9Cz0tuDiY8C3ctxq1tqvaCgkFb8cCA/edit#gid=346597447"",""อำนาจเจริญ!J572"")"),0)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5974589</v>
      </c>
      <c r="M8" s="23">
        <f t="shared" ca="1" si="0"/>
        <v>3736761</v>
      </c>
      <c r="N8" s="23">
        <f t="shared" ca="1" si="0"/>
        <v>4322815.4499999993</v>
      </c>
      <c r="O8" s="22">
        <f t="shared" ref="O8:O16" ca="1" si="1">IF(L8&gt;0,N8*100/L8,0)</f>
        <v>72.353352674133731</v>
      </c>
      <c r="P8" s="22">
        <f t="shared" ref="P8:P16" ca="1" si="2">IF(M8&gt;0,N8*100/M8,0)</f>
        <v>115.68348765147141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5974589</v>
      </c>
      <c r="M10" s="30">
        <f t="shared" ca="1" si="4"/>
        <v>3736761</v>
      </c>
      <c r="N10" s="30">
        <f t="shared" ca="1" si="4"/>
        <v>4322815.4499999993</v>
      </c>
      <c r="O10" s="29">
        <f t="shared" ca="1" si="1"/>
        <v>72.353352674133731</v>
      </c>
      <c r="P10" s="29">
        <f t="shared" ca="1" si="2"/>
        <v>115.68348765147141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5936789</v>
      </c>
      <c r="M12" s="38">
        <f t="shared" ca="1" si="6"/>
        <v>3698961</v>
      </c>
      <c r="N12" s="38">
        <f t="shared" ca="1" si="6"/>
        <v>4285015.4499999993</v>
      </c>
      <c r="O12" s="38">
        <f t="shared" ca="1" si="1"/>
        <v>72.177324307803417</v>
      </c>
      <c r="P12" s="38">
        <f t="shared" ca="1" si="2"/>
        <v>115.84375855814645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3703789</v>
      </c>
      <c r="M14" s="38">
        <f t="shared" si="8"/>
        <v>0</v>
      </c>
      <c r="N14" s="38">
        <f t="shared" ca="1" si="8"/>
        <v>1035938.23</v>
      </c>
      <c r="O14" s="38">
        <f t="shared" ca="1" si="1"/>
        <v>27.969688068083791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3478149</v>
      </c>
      <c r="M18" s="23">
        <f t="shared" ca="1" si="11"/>
        <v>3736761</v>
      </c>
      <c r="N18" s="23">
        <f t="shared" ca="1" si="11"/>
        <v>3286877.2199999997</v>
      </c>
      <c r="O18" s="22">
        <f t="shared" ref="O18:O20" ca="1" si="12">IF(L18&gt;0,N18*100/L18,0)</f>
        <v>94.50075945567599</v>
      </c>
      <c r="P18" s="22">
        <f t="shared" ref="P18:P26" ca="1" si="13">IF(M18&gt;0,N18*100/M18,0)</f>
        <v>87.96059528559627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3478149</v>
      </c>
      <c r="M20" s="30">
        <f t="shared" ca="1" si="15"/>
        <v>3736761</v>
      </c>
      <c r="N20" s="30">
        <f t="shared" ca="1" si="15"/>
        <v>3286877.2199999997</v>
      </c>
      <c r="O20" s="29">
        <f t="shared" ca="1" si="12"/>
        <v>94.50075945567599</v>
      </c>
      <c r="P20" s="29">
        <f t="shared" ca="1" si="13"/>
        <v>87.96059528559627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3440349</v>
      </c>
      <c r="M22" s="41">
        <f t="shared" ca="1" si="18"/>
        <v>3698961</v>
      </c>
      <c r="N22" s="38">
        <f t="shared" ca="1" si="18"/>
        <v>3249077.2199999997</v>
      </c>
      <c r="O22" s="38">
        <f t="shared" ca="1" si="17"/>
        <v>94.440337884325103</v>
      </c>
      <c r="P22" s="38">
        <f t="shared" ca="1" si="13"/>
        <v>87.83756357528506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1207349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2496440</v>
      </c>
      <c r="M28" s="23">
        <f t="shared" si="23"/>
        <v>0</v>
      </c>
      <c r="N28" s="23">
        <f t="shared" ca="1" si="23"/>
        <v>1035938.23</v>
      </c>
      <c r="O28" s="22">
        <f t="shared" ref="O28:O30" ca="1" si="24">IF(L28&gt;0,N28*100/L28,0)</f>
        <v>41.496620387431705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2496440</v>
      </c>
      <c r="M30" s="30">
        <f t="shared" si="27"/>
        <v>0</v>
      </c>
      <c r="N30" s="30">
        <f t="shared" ca="1" si="27"/>
        <v>1035938.23</v>
      </c>
      <c r="O30" s="29">
        <f t="shared" ca="1" si="24"/>
        <v>41.496620387431705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2496440</v>
      </c>
      <c r="M32" s="38">
        <f t="shared" si="30"/>
        <v>0</v>
      </c>
      <c r="N32" s="38">
        <f t="shared" ca="1" si="30"/>
        <v>1035938.23</v>
      </c>
      <c r="O32" s="38">
        <f t="shared" ca="1" si="29"/>
        <v>41.496620387431705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2496440</v>
      </c>
      <c r="M34" s="38">
        <f t="shared" si="32"/>
        <v>0</v>
      </c>
      <c r="N34" s="38">
        <f t="shared" ca="1" si="32"/>
        <v>1035938.23</v>
      </c>
      <c r="O34" s="38">
        <f t="shared" ca="1" si="29"/>
        <v>41.496620387431705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3478149</v>
      </c>
      <c r="M37" s="54">
        <f t="shared" ca="1" si="33"/>
        <v>3736761</v>
      </c>
      <c r="N37" s="54">
        <f t="shared" ca="1" si="33"/>
        <v>3286877.2199999997</v>
      </c>
      <c r="O37" s="55">
        <f t="shared" ca="1" si="29"/>
        <v>94.50075945567599</v>
      </c>
      <c r="P37" s="55">
        <f t="shared" ca="1" si="25"/>
        <v>87.96059528559627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757600</v>
      </c>
      <c r="N41" s="78">
        <f t="shared" ca="1" si="34"/>
        <v>702271.76</v>
      </c>
      <c r="O41" s="77">
        <f t="shared" ref="O41:O43" ca="1" si="35">IF(L41&gt;0,N41*100/L41,0)</f>
        <v>92.696906019007386</v>
      </c>
      <c r="P41" s="77">
        <f t="shared" ref="P41:P43" ca="1" si="36">IF(M41&gt;0,N41*100/M41,0)</f>
        <v>92.696906019007386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757600</v>
      </c>
      <c r="N43" s="78">
        <f t="shared" ca="1" si="38"/>
        <v>702271.76</v>
      </c>
      <c r="O43" s="77">
        <f t="shared" ca="1" si="35"/>
        <v>92.696906019007386</v>
      </c>
      <c r="P43" s="77">
        <f t="shared" ca="1" si="36"/>
        <v>92.696906019007386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IFERROR(__xludf.DUMMYFUNCTION("IMPORTRANGE(""https://docs.google.com/spreadsheets/d/1Yj_ptqi66GCucihVvJfMjLAmec39IyEx_6qawtMGysU/edit?usp=sharing"",""สบก!Q38"")"),757600)</f>
        <v>757600</v>
      </c>
      <c r="N45" s="49">
        <f ca="1">IFERROR(__xludf.DUMMYFUNCTION("IMPORTRANGE(""https://docs.google.com/spreadsheets/d/1Yj_ptqi66GCucihVvJfMjLAmec39IyEx_6qawtMGysU/edit?usp=sharing"",""สบก!R38"")"),702271.76)</f>
        <v>702271.76</v>
      </c>
      <c r="O45" s="38">
        <f ca="1">IF(L45&gt;0,N45*100/L45,0)</f>
        <v>92.696906019007386</v>
      </c>
      <c r="P45" s="38">
        <f ca="1">IF(M45&gt;0,N45*100/M45,0)</f>
        <v>92.696906019007386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880502</v>
      </c>
      <c r="N53" s="121">
        <f t="shared" ca="1" si="39"/>
        <v>814115</v>
      </c>
      <c r="O53" s="120">
        <f t="shared" ref="O53:O55" ca="1" si="40">IF(L53&gt;0,N53*100/L53,0)</f>
        <v>135.68583333333333</v>
      </c>
      <c r="P53" s="120">
        <f t="shared" ref="P53:P55" ca="1" si="41">IF(M53&gt;0,N53*100/M53,0)</f>
        <v>92.460323769849467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880502</v>
      </c>
      <c r="N55" s="121">
        <f t="shared" ca="1" si="43"/>
        <v>814115</v>
      </c>
      <c r="O55" s="120">
        <f t="shared" ca="1" si="40"/>
        <v>135.68583333333333</v>
      </c>
      <c r="P55" s="120">
        <f t="shared" ca="1" si="41"/>
        <v>92.460323769849467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IFERROR(__xludf.DUMMYFUNCTION("IMPORTRANGE(""https://docs.google.com/spreadsheets/d/1Yj_ptqi66GCucihVvJfMjLAmec39IyEx_6qawtMGysU/edit?usp=sharing"",""สบก!Z38"")"),880502)</f>
        <v>880502</v>
      </c>
      <c r="N57" s="49">
        <f ca="1">IFERROR(__xludf.DUMMYFUNCTION("IMPORTRANGE(""https://docs.google.com/spreadsheets/d/1Yj_ptqi66GCucihVvJfMjLAmec39IyEx_6qawtMGysU/edit?usp=sharing"",""สบก!AA38"")"),814115)</f>
        <v>814115</v>
      </c>
      <c r="O57" s="38">
        <f ca="1">IF(L57&gt;0,N57*100/L57,0)</f>
        <v>135.68583333333333</v>
      </c>
      <c r="P57" s="38">
        <f ca="1">IF(M57&gt;0,N57*100/M57,0)</f>
        <v>92.460323769849467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90974</v>
      </c>
      <c r="M118" s="152">
        <f t="shared" ca="1" si="58"/>
        <v>90974</v>
      </c>
      <c r="N118" s="152">
        <f t="shared" ca="1" si="58"/>
        <v>89064</v>
      </c>
      <c r="O118" s="151">
        <f t="shared" ref="O118:O120" ca="1" si="59">IF(L118&gt;0,N118*100/L118,0)</f>
        <v>97.900499043682814</v>
      </c>
      <c r="P118" s="151">
        <f t="shared" ref="P118:P120" ca="1" si="60">IF(M118&gt;0,N118*100/M118,0)</f>
        <v>97.900499043682814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90974</v>
      </c>
      <c r="M120" s="157">
        <f t="shared" ca="1" si="62"/>
        <v>90974</v>
      </c>
      <c r="N120" s="157">
        <f t="shared" ca="1" si="62"/>
        <v>89064</v>
      </c>
      <c r="O120" s="156">
        <f t="shared" ca="1" si="59"/>
        <v>97.900499043682814</v>
      </c>
      <c r="P120" s="156">
        <f t="shared" ca="1" si="60"/>
        <v>97.900499043682814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90974</v>
      </c>
      <c r="M122" s="168">
        <f ca="1">IFERROR(__xludf.DUMMYFUNCTION("IMPORTRANGE(""https://docs.google.com/spreadsheets/d/1Yj_ptqi66GCucihVvJfMjLAmec39IyEx_6qawtMGysU/edit?usp=sharing"",""สบก!BA38"")"),90974)</f>
        <v>90974</v>
      </c>
      <c r="N122" s="169">
        <f ca="1">IFERROR(__xludf.DUMMYFUNCTION("IMPORTRANGE(""https://docs.google.com/spreadsheets/d/1Yj_ptqi66GCucihVvJfMjLAmec39IyEx_6qawtMGysU/edit?usp=sharing"",""สบก!BB38"")"),89064)</f>
        <v>89064</v>
      </c>
      <c r="O122" s="169">
        <f ca="1">IF(L122&gt;0,N122*100/L122,0)</f>
        <v>97.900499043682814</v>
      </c>
      <c r="P122" s="169">
        <f ca="1">IF(M122&gt;0,N122*100/M122,0)</f>
        <v>97.900499043682814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IFERROR(__xludf.DUMMYFUNCTION("IMPORTRANGE(""https://docs.google.com/spreadsheets/d/1Yj_ptqi66GCucihVvJfMjLAmec39IyEx_6qawtMGysU/edit?usp=sharing"",""สบก!AX38"")"),90974)</f>
        <v>90974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91500</v>
      </c>
      <c r="M140" s="152">
        <f t="shared" ca="1" si="64"/>
        <v>91500</v>
      </c>
      <c r="N140" s="152">
        <f t="shared" ca="1" si="64"/>
        <v>91500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91500</v>
      </c>
      <c r="M142" s="157">
        <f t="shared" ca="1" si="68"/>
        <v>91500</v>
      </c>
      <c r="N142" s="157">
        <f t="shared" ca="1" si="68"/>
        <v>91500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91500</v>
      </c>
      <c r="M144" s="168">
        <f ca="1">IFERROR(__xludf.DUMMYFUNCTION("IMPORTRANGE(""https://docs.google.com/spreadsheets/d/1Yj_ptqi66GCucihVvJfMjLAmec39IyEx_6qawtMGysU/edit?usp=sharing"",""สบก!BJ38"")"),91500)</f>
        <v>91500</v>
      </c>
      <c r="N144" s="169">
        <f ca="1">IFERROR(__xludf.DUMMYFUNCTION("IMPORTRANGE(""https://docs.google.com/spreadsheets/d/1Yj_ptqi66GCucihVvJfMjLAmec39IyEx_6qawtMGysU/edit?usp=sharing"",""สบก!BK38"")"),91500)</f>
        <v>91500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IFERROR(__xludf.DUMMYFUNCTION("IMPORTRANGE(""https://docs.google.com/spreadsheets/d/1Yj_ptqi66GCucihVvJfMjLAmec39IyEx_6qawtMGysU/edit?usp=sharing"",""สบก!BG38"")"),91500)</f>
        <v>91500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IFERROR(__xludf.DUMMYFUNCTION("IMPORTRANGE(""https://docs.google.com/spreadsheets/d/1XL5vhW3sbDhbH9Cz0tuDiY8C3ctxq1tqvaCgkFb8cCA/edit?usp=sharing"",""กาฬสินธุ์!J88"")"),0)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IFERROR(__xludf.DUMMYFUNCTION("IMPORTRANGE(""https://docs.google.com/spreadsheets/d/1XL5vhW3sbDhbH9Cz0tuDiY8C3ctxq1tqvaCgkFb8cCA/edit?usp=sharing"",""กาฬสินธุ์!I89"")"),3)</f>
        <v>3</v>
      </c>
      <c r="J164" s="285">
        <f ca="1">IFERROR(__xludf.DUMMYFUNCTION("IMPORTRANGE(""https://docs.google.com/spreadsheets/d/1XL5vhW3sbDhbH9Cz0tuDiY8C3ctxq1tqvaCgkFb8cCA/edit?usp=sharing"",""กาฬสินธุ์!J89"")"),3)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IFERROR(__xludf.DUMMYFUNCTION("IMPORTRANGE(""https://docs.google.com/spreadsheets/d/1XL5vhW3sbDhbH9Cz0tuDiY8C3ctxq1tqvaCgkFb8cCA/edit?usp=sharing"",""กาฬสินธุ์!J100"")"),0)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IFERROR(__xludf.DUMMYFUNCTION("IMPORTRANGE(""https://docs.google.com/spreadsheets/d/1XL5vhW3sbDhbH9Cz0tuDiY8C3ctxq1tqvaCgkFb8cCA/edit?usp=sharing"",""กาฬสินธุ์!I101"")"),0)</f>
        <v>0</v>
      </c>
      <c r="J176" s="285">
        <f ca="1">IFERROR(__xludf.DUMMYFUNCTION("IMPORTRANGE(""https://docs.google.com/spreadsheets/d/1XL5vhW3sbDhbH9Cz0tuDiY8C3ctxq1tqvaCgkFb8cCA/edit?usp=sharing"",""กาฬสินธุ์!J101"")"),0)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IFERROR(__xludf.DUMMYFUNCTION("IMPORTRANGE(""https://docs.google.com/spreadsheets/d/1XL5vhW3sbDhbH9Cz0tuDiY8C3ctxq1tqvaCgkFb8cCA/edit?usp=sharing"",""กาฬสินธุ์!I114"")"),100000)</f>
        <v>100000</v>
      </c>
      <c r="J189" s="285">
        <f ca="1">IFERROR(__xludf.DUMMYFUNCTION("IMPORTRANGE(""https://docs.google.com/spreadsheets/d/1XL5vhW3sbDhbH9Cz0tuDiY8C3ctxq1tqvaCgkFb8cCA/edit?usp=sharing"",""กาฬสินธุ์!J114"")"),0)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IFERROR(__xludf.DUMMYFUNCTION("IMPORTRANGE(""https://docs.google.com/spreadsheets/d/1XL5vhW3sbDhbH9Cz0tuDiY8C3ctxq1tqvaCgkFb8cCA/edit?usp=sharing"",""กาฬสินธุ์!J128"")"),0)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IFERROR(__xludf.DUMMYFUNCTION("IMPORTRANGE(""https://docs.google.com/spreadsheets/d/1XL5vhW3sbDhbH9Cz0tuDiY8C3ctxq1tqvaCgkFb8cCA/edit?usp=sharing"",""กาฬสินธุ์!I129"")"),0)</f>
        <v>0</v>
      </c>
      <c r="J204" s="285">
        <f ca="1">IFERROR(__xludf.DUMMYFUNCTION("IMPORTRANGE(""https://docs.google.com/spreadsheets/d/1XL5vhW3sbDhbH9Cz0tuDiY8C3ctxq1tqvaCgkFb8cCA/edit?usp=sharing"",""กาฬสินธุ์!J129"")"),0)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IFERROR(__xludf.DUMMYFUNCTION("IMPORTRANGE(""https://docs.google.com/spreadsheets/d/1XL5vhW3sbDhbH9Cz0tuDiY8C3ctxq1tqvaCgkFb8cCA/edit?usp=sharing"",""กาฬสินธุ์!J157"")"),0)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IFERROR(__xludf.DUMMYFUNCTION("IMPORTRANGE(""https://docs.google.com/spreadsheets/d/1XL5vhW3sbDhbH9Cz0tuDiY8C3ctxq1tqvaCgkFb8cCA/edit?usp=sharing"",""กาฬสินธุ์!I169"")"),20)</f>
        <v>20</v>
      </c>
      <c r="J249" s="317">
        <f ca="1">IFERROR(__xludf.DUMMYFUNCTION("IMPORTRANGE(""https://docs.google.com/spreadsheets/d/1XL5vhW3sbDhbH9Cz0tuDiY8C3ctxq1tqvaCgkFb8cCA/edit?usp=sharing"",""กาฬสินธุ์!J169"")"),20)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335400</v>
      </c>
      <c r="N250" s="152">
        <f t="shared" ca="1" si="77"/>
        <v>284331.09999999998</v>
      </c>
      <c r="O250" s="151">
        <f t="shared" ref="O250:O252" ca="1" si="78">IF(L250&gt;0,N250*100/L250,0)</f>
        <v>84.773732856290991</v>
      </c>
      <c r="P250" s="151">
        <f t="shared" ref="P250:P252" ca="1" si="79">IF(M250&gt;0,N250*100/M250,0)</f>
        <v>84.773732856290991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335400</v>
      </c>
      <c r="N252" s="157">
        <f t="shared" ca="1" si="81"/>
        <v>284331.09999999998</v>
      </c>
      <c r="O252" s="156">
        <f t="shared" ca="1" si="78"/>
        <v>84.773732856290991</v>
      </c>
      <c r="P252" s="156">
        <f t="shared" ca="1" si="79"/>
        <v>84.773732856290991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IFERROR(__xludf.DUMMYFUNCTION("IMPORTRANGE(""https://docs.google.com/spreadsheets/d/1Yj_ptqi66GCucihVvJfMjLAmec39IyEx_6qawtMGysU/edit?usp=sharing"",""สบก!CB38"")"),335400)</f>
        <v>335400</v>
      </c>
      <c r="N254" s="169">
        <f ca="1">IFERROR(__xludf.DUMMYFUNCTION("IMPORTRANGE(""https://docs.google.com/spreadsheets/d/1Yj_ptqi66GCucihVvJfMjLAmec39IyEx_6qawtMGysU/edit?usp=sharing"",""สบก!CC38"")"),284331.1)</f>
        <v>284331.09999999998</v>
      </c>
      <c r="O254" s="169">
        <f ca="1">IF(L254&gt;0,N254*100/L254,0)</f>
        <v>84.773732856290991</v>
      </c>
      <c r="P254" s="169">
        <f ca="1">IF(M254&gt;0,N254*100/M254,0)</f>
        <v>84.773732856290991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IFERROR(__xludf.DUMMYFUNCTION("IMPORTRANGE(""https://docs.google.com/spreadsheets/d/1XL5vhW3sbDhbH9Cz0tuDiY8C3ctxq1tqvaCgkFb8cCA/edit?usp=sharing"",""กาฬสินธุ์!J181"")"),1)</f>
        <v>1</v>
      </c>
      <c r="K266" s="163">
        <f t="shared" ca="1" si="82"/>
        <v>5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IFERROR(__xludf.DUMMYFUNCTION("IMPORTRANGE(""https://docs.google.com/spreadsheets/d/1XL5vhW3sbDhbH9Cz0tuDiY8C3ctxq1tqvaCgkFb8cCA/edit?usp=sharing"",""กาฬสินธุ์!J184"")"),1)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IFERROR(__xludf.DUMMYFUNCTION("IMPORTRANGE(""https://docs.google.com/spreadsheets/d/1XL5vhW3sbDhbH9Cz0tuDiY8C3ctxq1tqvaCgkFb8cCA/edit?usp=sharing"",""กาฬสินธุ์!I185"")"),20)</f>
        <v>20</v>
      </c>
      <c r="J270" s="317">
        <f ca="1">IFERROR(__xludf.DUMMYFUNCTION("IMPORTRANGE(""https://docs.google.com/spreadsheets/d/1XL5vhW3sbDhbH9Cz0tuDiY8C3ctxq1tqvaCgkFb8cCA/edit?usp=sharing"",""กาฬสินธุ์!J185"")"),20)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161599.82999999999</v>
      </c>
      <c r="O271" s="151">
        <f t="shared" ref="O271:O273" ca="1" si="84">IF(L271&gt;0,N271*100/L271,0)</f>
        <v>88.017336601307179</v>
      </c>
      <c r="P271" s="151">
        <f t="shared" ref="P271:P273" ca="1" si="85">IF(M271&gt;0,N271*100/M271,0)</f>
        <v>88.017336601307179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161599.82999999999</v>
      </c>
      <c r="O273" s="156">
        <f t="shared" ca="1" si="84"/>
        <v>88.017336601307179</v>
      </c>
      <c r="P273" s="156">
        <f t="shared" ca="1" si="85"/>
        <v>88.017336601307179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IFERROR(__xludf.DUMMYFUNCTION("IMPORTRANGE(""https://docs.google.com/spreadsheets/d/1Yj_ptqi66GCucihVvJfMjLAmec39IyEx_6qawtMGysU/edit?usp=sharing"",""สบก!CK38"")"),183600)</f>
        <v>183600</v>
      </c>
      <c r="N275" s="169">
        <f ca="1">IFERROR(__xludf.DUMMYFUNCTION("IMPORTRANGE(""https://docs.google.com/spreadsheets/d/1Yj_ptqi66GCucihVvJfMjLAmec39IyEx_6qawtMGysU/edit?usp=sharing"",""สบก!CL38"")"),161599.83)</f>
        <v>161599.82999999999</v>
      </c>
      <c r="O275" s="169">
        <f ca="1">IF(L275&gt;0,N275*100/L275,0)</f>
        <v>88.017336601307179</v>
      </c>
      <c r="P275" s="169">
        <f ca="1">IF(M275&gt;0,N275*100/M275,0)</f>
        <v>88.017336601307179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IFERROR(__xludf.DUMMYFUNCTION("IMPORTRANGE(""https://docs.google.com/spreadsheets/d/1XL5vhW3sbDhbH9Cz0tuDiY8C3ctxq1tqvaCgkFb8cCA/edit?usp=sharing"",""กาฬสินธุ์!I199"")"),15)</f>
        <v>15</v>
      </c>
      <c r="J289" s="317">
        <f ca="1">IFERROR(__xludf.DUMMYFUNCTION("IMPORTRANGE(""https://docs.google.com/spreadsheets/d/1XL5vhW3sbDhbH9Cz0tuDiY8C3ctxq1tqvaCgkFb8cCA/edit?usp=sharing"",""กาฬสินธุ์!J199"")"),15)</f>
        <v>15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72260</v>
      </c>
      <c r="M290" s="152">
        <f t="shared" ca="1" si="88"/>
        <v>72260</v>
      </c>
      <c r="N290" s="152">
        <f t="shared" ca="1" si="88"/>
        <v>56610</v>
      </c>
      <c r="O290" s="151">
        <f t="shared" ref="O290:O292" ca="1" si="89">IF(L290&gt;0,N290*100/L290,0)</f>
        <v>78.3420979795184</v>
      </c>
      <c r="P290" s="151">
        <f t="shared" ref="P290:P292" ca="1" si="90">IF(M290&gt;0,N290*100/M290,0)</f>
        <v>78.3420979795184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72260</v>
      </c>
      <c r="M292" s="157">
        <f t="shared" ca="1" si="92"/>
        <v>72260</v>
      </c>
      <c r="N292" s="157">
        <f t="shared" ca="1" si="92"/>
        <v>56610</v>
      </c>
      <c r="O292" s="156">
        <f t="shared" ca="1" si="89"/>
        <v>78.3420979795184</v>
      </c>
      <c r="P292" s="156">
        <f t="shared" ca="1" si="90"/>
        <v>78.3420979795184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72260</v>
      </c>
      <c r="M294" s="168">
        <f ca="1">IFERROR(__xludf.DUMMYFUNCTION("IMPORTRANGE(""https://docs.google.com/spreadsheets/d/1Yj_ptqi66GCucihVvJfMjLAmec39IyEx_6qawtMGysU/edit?usp=sharing"",""สบก!CT38"")"),72260)</f>
        <v>72260</v>
      </c>
      <c r="N294" s="169">
        <f ca="1">IFERROR(__xludf.DUMMYFUNCTION("IMPORTRANGE(""https://docs.google.com/spreadsheets/d/1Yj_ptqi66GCucihVvJfMjLAmec39IyEx_6qawtMGysU/edit?usp=sharing"",""สบก!CU38"")"),56610)</f>
        <v>56610</v>
      </c>
      <c r="O294" s="169">
        <f ca="1">IF(L294&gt;0,N294*100/L294,0)</f>
        <v>78.3420979795184</v>
      </c>
      <c r="P294" s="169">
        <f ca="1">IF(M294&gt;0,N294*100/M294,0)</f>
        <v>78.3420979795184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IFERROR(__xludf.DUMMYFUNCTION("IMPORTRANGE(""https://docs.google.com/spreadsheets/d/1Yj_ptqi66GCucihVvJfMjLAmec39IyEx_6qawtMGysU/edit?usp=sharing"",""สบก!CQ38"")"),72260)</f>
        <v>72260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IFERROR(__xludf.DUMMYFUNCTION("IMPORTRANGE(""https://docs.google.com/spreadsheets/d/1XL5vhW3sbDhbH9Cz0tuDiY8C3ctxq1tqvaCgkFb8cCA/edit?usp=sharing"",""กาฬสินธุ์!I214"")"),1)</f>
        <v>1</v>
      </c>
      <c r="J309" s="334">
        <f ca="1">IFERROR(__xludf.DUMMYFUNCTION("IMPORTRANGE(""https://docs.google.com/spreadsheets/d/1XL5vhW3sbDhbH9Cz0tuDiY8C3ctxq1tqvaCgkFb8cCA/edit?usp=sharing"",""กาฬสินธุ์!J214"")"),1)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217600</v>
      </c>
      <c r="M310" s="152">
        <f t="shared" ca="1" si="93"/>
        <v>217600</v>
      </c>
      <c r="N310" s="152">
        <f t="shared" ca="1" si="93"/>
        <v>174201.8</v>
      </c>
      <c r="O310" s="151">
        <f t="shared" ref="O310:O312" ca="1" si="94">IF(L310&gt;0,N310*100/L310,0)</f>
        <v>80.055974264705881</v>
      </c>
      <c r="P310" s="151">
        <f t="shared" ref="P310:P312" ca="1" si="95">IF(M310&gt;0,N310*100/M310,0)</f>
        <v>80.055974264705881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217600</v>
      </c>
      <c r="M312" s="157">
        <f t="shared" ca="1" si="97"/>
        <v>217600</v>
      </c>
      <c r="N312" s="157">
        <f t="shared" ca="1" si="97"/>
        <v>174201.8</v>
      </c>
      <c r="O312" s="156">
        <f t="shared" ca="1" si="94"/>
        <v>80.055974264705881</v>
      </c>
      <c r="P312" s="156">
        <f t="shared" ca="1" si="95"/>
        <v>80.055974264705881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IFERROR(__xludf.DUMMYFUNCTION("IMPORTRANGE(""https://docs.google.com/spreadsheets/d/1Yj_ptqi66GCucihVvJfMjLAmec39IyEx_6qawtMGysU/edit?usp=sharing"",""สบก!DC38"")"),217600)</f>
        <v>217600</v>
      </c>
      <c r="N314" s="169">
        <f ca="1">IFERROR(__xludf.DUMMYFUNCTION("IMPORTRANGE(""https://docs.google.com/spreadsheets/d/1Yj_ptqi66GCucihVvJfMjLAmec39IyEx_6qawtMGysU/edit?usp=sharing"",""สบก!DD38"")"),174201.8)</f>
        <v>174201.8</v>
      </c>
      <c r="O314" s="169">
        <f ca="1">IF(L314&gt;0,N314*100/L314,0)</f>
        <v>80.055974264705881</v>
      </c>
      <c r="P314" s="169">
        <f ca="1">IF(M314&gt;0,N314*100/M314,0)</f>
        <v>80.055974264705881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IFERROR(__xludf.DUMMYFUNCTION("IMPORTRANGE(""https://docs.google.com/spreadsheets/d/1XL5vhW3sbDhbH9Cz0tuDiY8C3ctxq1tqvaCgkFb8cCA/edit?usp=sharing"",""กาฬสินธุ์!J224"")"),1)</f>
        <v>1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IFERROR(__xludf.DUMMYFUNCTION("IMPORTRANGE(""https://docs.google.com/spreadsheets/d/1XL5vhW3sbDhbH9Cz0tuDiY8C3ctxq1tqvaCgkFb8cCA/edit?usp=sharing"",""กาฬสินธุ์!I228"")"),345)</f>
        <v>345</v>
      </c>
      <c r="J328" s="340">
        <f ca="1">IFERROR(__xludf.DUMMYFUNCTION("IMPORTRANGE(""https://docs.google.com/spreadsheets/d/1XL5vhW3sbDhbH9Cz0tuDiY8C3ctxq1tqvaCgkFb8cCA/edit?usp=sharing"",""กาฬสินธุ์!J228"")"),166)</f>
        <v>166</v>
      </c>
      <c r="K328" s="318">
        <f ca="1">IF(I328&gt;0,J328*100/I328,0)</f>
        <v>48.115942028985508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1108090</v>
      </c>
      <c r="M329" s="152">
        <f t="shared" ca="1" si="98"/>
        <v>1086200</v>
      </c>
      <c r="N329" s="152">
        <f t="shared" ca="1" si="98"/>
        <v>892058.73</v>
      </c>
      <c r="O329" s="151">
        <f t="shared" ref="O329:O331" ca="1" si="99">IF(L329&gt;0,N329*100/L329,0)</f>
        <v>80.50417655605591</v>
      </c>
      <c r="P329" s="151">
        <f t="shared" ref="P329:P331" ca="1" si="100">IF(M329&gt;0,N329*100/M329,0)</f>
        <v>82.126563248020616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1108090</v>
      </c>
      <c r="M331" s="157">
        <f t="shared" ca="1" si="102"/>
        <v>1086200</v>
      </c>
      <c r="N331" s="157">
        <f t="shared" ca="1" si="102"/>
        <v>892058.73</v>
      </c>
      <c r="O331" s="156">
        <f t="shared" ca="1" si="99"/>
        <v>80.50417655605591</v>
      </c>
      <c r="P331" s="156">
        <f t="shared" ca="1" si="100"/>
        <v>82.126563248020616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1070290</v>
      </c>
      <c r="M333" s="168">
        <f ca="1">IFERROR(__xludf.DUMMYFUNCTION("IMPORTRANGE(""https://docs.google.com/spreadsheets/d/1Yj_ptqi66GCucihVvJfMjLAmec39IyEx_6qawtMGysU/edit?usp=sharing"",""สบก!DL38"")"),1048400)</f>
        <v>1048400</v>
      </c>
      <c r="N333" s="169">
        <f ca="1">IFERROR(__xludf.DUMMYFUNCTION("IMPORTRANGE(""https://docs.google.com/spreadsheets/d/1Yj_ptqi66GCucihVvJfMjLAmec39IyEx_6qawtMGysU/edit?usp=sharing"",""สบก!DM38"")"),854258.73)</f>
        <v>854258.73</v>
      </c>
      <c r="O333" s="169">
        <f ca="1">IF(L333&gt;0,N333*100/L333,0)</f>
        <v>79.815632211830433</v>
      </c>
      <c r="P333" s="169">
        <f ca="1">IF(M333&gt;0,N333*100/M333,0)</f>
        <v>81.482137542922544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IFERROR(__xludf.DUMMYFUNCTION("IMPORTRANGE(""https://docs.google.com/spreadsheets/d/1Yj_ptqi66GCucihVvJfMjLAmec39IyEx_6qawtMGysU/edit?usp=sharing"",""สบก!DI38"")"),458890)</f>
        <v>458890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IFERROR(__xludf.DUMMYFUNCTION("IMPORTRANGE(""https://docs.google.com/spreadsheets/d/1XL5vhW3sbDhbH9Cz0tuDiY8C3ctxq1tqvaCgkFb8cCA/edit?usp=sharing"",""กาฬสินธุ์!J234"")"),320)</f>
        <v>320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IFERROR(__xludf.DUMMYFUNCTION("IMPORTRANGE(""https://docs.google.com/spreadsheets/d/1XL5vhW3sbDhbH9Cz0tuDiY8C3ctxq1tqvaCgkFb8cCA/edit?usp=sharing"",""กาฬสินธุ์!J235"")"),2730.81)</f>
        <v>2730.81</v>
      </c>
      <c r="K340" s="343">
        <f t="shared" ca="1" si="103"/>
        <v>99.664598540145988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IFERROR(__xludf.DUMMYFUNCTION("IMPORTRANGE(""https://docs.google.com/spreadsheets/d/1XL5vhW3sbDhbH9Cz0tuDiY8C3ctxq1tqvaCgkFb8cCA/edit?usp=sharing"",""กาฬสินธุ์!J236"")"),431)</f>
        <v>431</v>
      </c>
      <c r="K341" s="343">
        <f t="shared" ca="1" si="103"/>
        <v>124.92753623188406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IFERROR(__xludf.DUMMYFUNCTION("IMPORTRANGE(""https://docs.google.com/spreadsheets/d/1XL5vhW3sbDhbH9Cz0tuDiY8C3ctxq1tqvaCgkFb8cCA/edit?usp=sharing"",""กาฬสินธุ์!J237"")"),4225.94)</f>
        <v>4225.9399999999996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IFERROR(__xludf.DUMMYFUNCTION("IMPORTRANGE(""https://docs.google.com/spreadsheets/d/1XL5vhW3sbDhbH9Cz0tuDiY8C3ctxq1tqvaCgkFb8cCA/edit?usp=sharing"",""กาฬสินธุ์!J240"")"),166)</f>
        <v>166</v>
      </c>
      <c r="K345" s="343">
        <f t="shared" ca="1" si="103"/>
        <v>48.115942028985508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IFERROR(__xludf.DUMMYFUNCTION("IMPORTRANGE(""https://docs.google.com/spreadsheets/d/1XL5vhW3sbDhbH9Cz0tuDiY8C3ctxq1tqvaCgkFb8cCA/edit?usp=sharing"",""กาฬสินธุ์!J241"")"),1881.85)</f>
        <v>1881.85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IFERROR(__xludf.DUMMYFUNCTION("IMPORTRANGE(""https://docs.google.com/spreadsheets/d/1XL5vhW3sbDhbH9Cz0tuDiY8C3ctxq1tqvaCgkFb8cCA/edit?usp=sharing"",""กาฬสินธุ์!L242"")"),2496440)</f>
        <v>2496440</v>
      </c>
      <c r="M347" s="358"/>
      <c r="N347" s="358">
        <f ca="1">IFERROR(__xludf.DUMMYFUNCTION("IMPORTRANGE(""https://docs.google.com/spreadsheets/d/1XL5vhW3sbDhbH9Cz0tuDiY8C3ctxq1tqvaCgkFb8cCA/edit?usp=sharing"",""กาฬสินธุ์!M242"")"),1035938.23)</f>
        <v>1035938.23</v>
      </c>
      <c r="O347" s="358">
        <f ca="1">+IF(L347&gt;0,N347*100/L347,0)</f>
        <v>41.496620387431705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IFERROR(__xludf.DUMMYFUNCTION("IMPORTRANGE(""https://docs.google.com/spreadsheets/d/1XL5vhW3sbDhbH9Cz0tuDiY8C3ctxq1tqvaCgkFb8cCA/edit?usp=sharing"",""กาฬสินธุ์!M244"")"),184418.4)</f>
        <v>184418.4</v>
      </c>
      <c r="O349" s="373">
        <f ca="1">+IF(L349&gt;0,N349*100/L349,0)</f>
        <v>31.990424646128226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IFERROR(__xludf.DUMMYFUNCTION("IMPORTRANGE(""https://docs.google.com/spreadsheets/d/1XL5vhW3sbDhbH9Cz0tuDiY8C3ctxq1tqvaCgkFb8cCA/edit?usp=sharing"",""กาฬสินธุ์!L247"")"),576480)</f>
        <v>576480</v>
      </c>
      <c r="M352" s="165"/>
      <c r="N352" s="164">
        <f ca="1">IFERROR(__xludf.DUMMYFUNCTION("IMPORTRANGE(""https://docs.google.com/spreadsheets/d/1XL5vhW3sbDhbH9Cz0tuDiY8C3ctxq1tqvaCgkFb8cCA/edit?usp=sharing"",""กาฬสินธุ์!M247"")"),184418.4)</f>
        <v>184418.4</v>
      </c>
      <c r="O352" s="165">
        <f t="shared" ca="1" si="105"/>
        <v>31.990424646128226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IFERROR(__xludf.DUMMYFUNCTION("IMPORTRANGE(""https://docs.google.com/spreadsheets/d/1XL5vhW3sbDhbH9Cz0tuDiY8C3ctxq1tqvaCgkFb8cCA/edit?usp=sharing"",""กาฬสินธุ์!L249"")"),576480)</f>
        <v>576480</v>
      </c>
      <c r="M354" s="169"/>
      <c r="N354" s="168">
        <f ca="1">IFERROR(__xludf.DUMMYFUNCTION("IMPORTRANGE(""https://docs.google.com/spreadsheets/d/1XL5vhW3sbDhbH9Cz0tuDiY8C3ctxq1tqvaCgkFb8cCA/edit?usp=sharing"",""กาฬสินธุ์!M249"")"),184418.4)</f>
        <v>184418.4</v>
      </c>
      <c r="O354" s="169">
        <f t="shared" ca="1" si="105"/>
        <v>31.990424646128226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IFERROR(__xludf.DUMMYFUNCTION("IMPORTRANGE(""https://docs.google.com/spreadsheets/d/1XL5vhW3sbDhbH9Cz0tuDiY8C3ctxq1tqvaCgkFb8cCA/edit?usp=sharing"",""กาฬสินธุ์!M252"")"),83348.4)</f>
        <v>83348.399999999994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IFERROR(__xludf.DUMMYFUNCTION("IMPORTRANGE(""https://docs.google.com/spreadsheets/d/1XL5vhW3sbDhbH9Cz0tuDiY8C3ctxq1tqvaCgkFb8cCA/edit?usp=sharing"",""กาฬสินธุ์!M253"")"),27870)</f>
        <v>27870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IFERROR(__xludf.DUMMYFUNCTION("IMPORTRANGE(""https://docs.google.com/spreadsheets/d/1XL5vhW3sbDhbH9Cz0tuDiY8C3ctxq1tqvaCgkFb8cCA/edit?usp=sharing"",""กาฬสินธุ์!M275"")"),303037.56)</f>
        <v>303037.56</v>
      </c>
      <c r="O380" s="373">
        <f ca="1">+IF(L380&gt;0,N380*100/L380,0)</f>
        <v>29.463458172908645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IFERROR(__xludf.DUMMYFUNCTION("IMPORTRANGE(""https://docs.google.com/spreadsheets/d/1XL5vhW3sbDhbH9Cz0tuDiY8C3ctxq1tqvaCgkFb8cCA/edit?usp=sharing"",""กาฬสินธุ์!M278"")"),303037.56)</f>
        <v>303037.56</v>
      </c>
      <c r="O383" s="165">
        <f t="shared" ca="1" si="109"/>
        <v>29.463458172908645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IFERROR(__xludf.DUMMYFUNCTION("IMPORTRANGE(""https://docs.google.com/spreadsheets/d/1XL5vhW3sbDhbH9Cz0tuDiY8C3ctxq1tqvaCgkFb8cCA/edit?usp=sharing"",""กาฬสินธุ์!M280"")"),303037.56)</f>
        <v>303037.56</v>
      </c>
      <c r="O385" s="169">
        <f t="shared" ca="1" si="109"/>
        <v>29.463458172908645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IFERROR(__xludf.DUMMYFUNCTION("IMPORTRANGE(""https://docs.google.com/spreadsheets/d/1XL5vhW3sbDhbH9Cz0tuDiY8C3ctxq1tqvaCgkFb8cCA/edit?usp=sharing"",""กาฬสินธุ์!M281"")"),190610)</f>
        <v>190610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IFERROR(__xludf.DUMMYFUNCTION("IMPORTRANGE(""https://docs.google.com/spreadsheets/d/1XL5vhW3sbDhbH9Cz0tuDiY8C3ctxq1tqvaCgkFb8cCA/edit?usp=sharing"",""กาฬสินธุ์!M283"")"),82677)</f>
        <v>82677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IFERROR(__xludf.DUMMYFUNCTION("IMPORTRANGE(""https://docs.google.com/spreadsheets/d/1XL5vhW3sbDhbH9Cz0tuDiY8C3ctxq1tqvaCgkFb8cCA/edit?usp=sharing"",""กาฬสินธุ์!M284"")"),29750.56)</f>
        <v>29750.560000000001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IFERROR(__xludf.DUMMYFUNCTION("IMPORTRANGE(""https://docs.google.com/spreadsheets/d/1XL5vhW3sbDhbH9Cz0tuDiY8C3ctxq1tqvaCgkFb8cCA/edit?usp=sharing"",""กาฬสินธุ์!M296"")"),95380)</f>
        <v>95380</v>
      </c>
      <c r="O401" s="373">
        <f ca="1">+IF(L401&gt;0,N401*100/L401,0)</f>
        <v>72.41667299369827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IFERROR(__xludf.DUMMYFUNCTION("IMPORTRANGE(""https://docs.google.com/spreadsheets/d/1XL5vhW3sbDhbH9Cz0tuDiY8C3ctxq1tqvaCgkFb8cCA/edit?usp=sharing"",""กาฬสินธุ์!M299"")"),95380)</f>
        <v>95380</v>
      </c>
      <c r="O404" s="169">
        <f t="shared" ca="1" si="112"/>
        <v>72.41667299369827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IFERROR(__xludf.DUMMYFUNCTION("IMPORTRANGE(""https://docs.google.com/spreadsheets/d/1XL5vhW3sbDhbH9Cz0tuDiY8C3ctxq1tqvaCgkFb8cCA/edit?usp=sharing"",""กาฬสินธุ์!M301"")"),95380)</f>
        <v>95380</v>
      </c>
      <c r="O406" s="169">
        <f t="shared" ca="1" si="112"/>
        <v>72.41667299369827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IFERROR(__xludf.DUMMYFUNCTION("IMPORTRANGE(""https://docs.google.com/spreadsheets/d/1XL5vhW3sbDhbH9Cz0tuDiY8C3ctxq1tqvaCgkFb8cCA/edit?usp=sharing"",""กาฬสินธุ์!M302"")"),53120)</f>
        <v>53120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IFERROR(__xludf.DUMMYFUNCTION("IMPORTRANGE(""https://docs.google.com/spreadsheets/d/1XL5vhW3sbDhbH9Cz0tuDiY8C3ctxq1tqvaCgkFb8cCA/edit?usp=sharing"",""กาฬสินธุ์!M305"")"),16760)</f>
        <v>16760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IFERROR(__xludf.DUMMYFUNCTION("IMPORTRANGE(""https://docs.google.com/spreadsheets/d/1XL5vhW3sbDhbH9Cz0tuDiY8C3ctxq1tqvaCgkFb8cCA/edit?usp=sharing"",""กาฬสินธุ์!J329"")"),1)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IFERROR(__xludf.DUMMYFUNCTION("IMPORTRANGE(""https://docs.google.com/spreadsheets/d/1XL5vhW3sbDhbH9Cz0tuDiY8C3ctxq1tqvaCgkFb8cCA/edit?usp=sharing"",""กาฬสินธุ์!M330"")"),139280.82)</f>
        <v>139280.82</v>
      </c>
      <c r="O435" s="412">
        <f t="shared" ref="O435:O439" ca="1" si="114">+IF(L435&gt;0,N435*100/L435,0)</f>
        <v>82.905249999999995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IFERROR(__xludf.DUMMYFUNCTION("IMPORTRANGE(""https://docs.google.com/spreadsheets/d/1XL5vhW3sbDhbH9Cz0tuDiY8C3ctxq1tqvaCgkFb8cCA/edit?usp=sharing"",""กาฬสินธุ์!M332"")"),139280.82)</f>
        <v>139280.82</v>
      </c>
      <c r="O437" s="169">
        <f t="shared" ca="1" si="114"/>
        <v>82.905249999999995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IFERROR(__xludf.DUMMYFUNCTION("IMPORTRANGE(""https://docs.google.com/spreadsheets/d/1XL5vhW3sbDhbH9Cz0tuDiY8C3ctxq1tqvaCgkFb8cCA/edit?usp=sharing"",""กาฬสินธุ์!M334"")"),139280.82)</f>
        <v>139280.82</v>
      </c>
      <c r="O439" s="169">
        <f t="shared" ca="1" si="114"/>
        <v>82.905249999999995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IFERROR(__xludf.DUMMYFUNCTION("IMPORTRANGE(""https://docs.google.com/spreadsheets/d/1XL5vhW3sbDhbH9Cz0tuDiY8C3ctxq1tqvaCgkFb8cCA/edit?usp=sharing"",""กาฬสินธุ์!M335"")"),70425)</f>
        <v>70425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IFERROR(__xludf.DUMMYFUNCTION("IMPORTRANGE(""https://docs.google.com/spreadsheets/d/1XL5vhW3sbDhbH9Cz0tuDiY8C3ctxq1tqvaCgkFb8cCA/edit?usp=sharing"",""กาฬสินธุ์!M338"")"),68855.82)</f>
        <v>68855.820000000007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IFERROR(__xludf.DUMMYFUNCTION("IMPORTRANGE(""https://docs.google.com/spreadsheets/d/1XL5vhW3sbDhbH9Cz0tuDiY8C3ctxq1tqvaCgkFb8cCA/edit?usp=sharing"",""กาฬสินธุ์!M350"")"),135446)</f>
        <v>135446</v>
      </c>
      <c r="O455" s="373">
        <f t="shared" ref="O455:O459" ca="1" si="116">+IF(L455&gt;0,N455*100/L455,0)</f>
        <v>51.400705855565256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IFERROR(__xludf.DUMMYFUNCTION("IMPORTRANGE(""https://docs.google.com/spreadsheets/d/1XL5vhW3sbDhbH9Cz0tuDiY8C3ctxq1tqvaCgkFb8cCA/edit?usp=sharing"",""กาฬสินธุ์!M352"")"),135446)</f>
        <v>135446</v>
      </c>
      <c r="O457" s="169">
        <f t="shared" ca="1" si="116"/>
        <v>51.400705855565256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IFERROR(__xludf.DUMMYFUNCTION("IMPORTRANGE(""https://docs.google.com/spreadsheets/d/1XL5vhW3sbDhbH9Cz0tuDiY8C3ctxq1tqvaCgkFb8cCA/edit?usp=sharing"",""กาฬสินธุ์!M354"")"),135446)</f>
        <v>135446</v>
      </c>
      <c r="O459" s="169">
        <f t="shared" ca="1" si="116"/>
        <v>51.400705855565256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IFERROR(__xludf.DUMMYFUNCTION("IMPORTRANGE(""https://docs.google.com/spreadsheets/d/1XL5vhW3sbDhbH9Cz0tuDiY8C3ctxq1tqvaCgkFb8cCA/edit?usp=sharing"",""กาฬสินธุ์!M358"")"),135446)</f>
        <v>135446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2">
        <f t="shared" ca="1" si="117"/>
        <v>108.32930322532644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2">
        <f t="shared" ca="1" si="117"/>
        <v>100.031328320802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IFERROR(__xludf.DUMMYFUNCTION("IMPORTRANGE(""https://docs.google.com/spreadsheets/d/1XL5vhW3sbDhbH9Cz0tuDiY8C3ctxq1tqvaCgkFb8cCA/edit?usp=sharing"",""กาฬสินธุ์!J362"")"),25400)</f>
        <v>25400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IFERROR(__xludf.DUMMYFUNCTION("IMPORTRANGE(""https://docs.google.com/spreadsheets/d/1XL5vhW3sbDhbH9Cz0tuDiY8C3ctxq1tqvaCgkFb8cCA/edit?usp=sharing"",""กาฬสินธุ์!J364"")"),2410)</f>
        <v>2410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IFERROR(__xludf.DUMMYFUNCTION("IMPORTRANGE(""https://docs.google.com/spreadsheets/d/1XL5vhW3sbDhbH9Cz0tuDiY8C3ctxq1tqvaCgkFb8cCA/edit?usp=sharing"",""กาฬสินธุ์!J365"")"),234)</f>
        <v>234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IFERROR(__xludf.DUMMYFUNCTION("IMPORTRANGE(""https://docs.google.com/spreadsheets/d/1XL5vhW3sbDhbH9Cz0tuDiY8C3ctxq1tqvaCgkFb8cCA/edit?usp=sharing"",""กาฬสินธุ์!J367"")"),100)</f>
        <v>100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IFERROR(__xludf.DUMMYFUNCTION("IMPORTRANGE(""https://docs.google.com/spreadsheets/d/1XL5vhW3sbDhbH9Cz0tuDiY8C3ctxq1tqvaCgkFb8cCA/edit?usp=sharing"",""กาฬสินธุ์!J392"")"),1076)</f>
        <v>1076</v>
      </c>
      <c r="K497" s="444">
        <f t="shared" ca="1" si="117"/>
        <v>60.963172804532576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IFERROR(__xludf.DUMMYFUNCTION("IMPORTRANGE(""https://docs.google.com/spreadsheets/d/1XL5vhW3sbDhbH9Cz0tuDiY8C3ctxq1tqvaCgkFb8cCA/edit?usp=sharing"",""กาฬสินธุ์!J393"")"),1076)</f>
        <v>1076</v>
      </c>
      <c r="K498" s="202">
        <f t="shared" ca="1" si="117"/>
        <v>60.963172804532576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IFERROR(__xludf.DUMMYFUNCTION("IMPORTRANGE(""https://docs.google.com/spreadsheets/d/1XL5vhW3sbDhbH9Cz0tuDiY8C3ctxq1tqvaCgkFb8cCA/edit?usp=sharing"",""กาฬสินธุ์!J394"")"),105)</f>
        <v>105</v>
      </c>
      <c r="K499" s="202">
        <f t="shared" ca="1" si="117"/>
        <v>61.046511627906973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IFERROR(__xludf.DUMMYFUNCTION("IMPORTRANGE(""https://docs.google.com/spreadsheets/d/1XL5vhW3sbDhbH9Cz0tuDiY8C3ctxq1tqvaCgkFb8cCA/edit?usp=sharing"",""กาฬสินธุ์!J395"")"),802)</f>
        <v>802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IFERROR(__xludf.DUMMYFUNCTION("IMPORTRANGE(""https://docs.google.com/spreadsheets/d/1XL5vhW3sbDhbH9Cz0tuDiY8C3ctxq1tqvaCgkFb8cCA/edit?usp=sharing"",""กาฬสินธุ์!J396"")"),71)</f>
        <v>71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IFERROR(__xludf.DUMMYFUNCTION("IMPORTRANGE(""https://docs.google.com/spreadsheets/d/1XL5vhW3sbDhbH9Cz0tuDiY8C3ctxq1tqvaCgkFb8cCA/edit?usp=sharing"",""กาฬสินธุ์!J397"")"),802)</f>
        <v>802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IFERROR(__xludf.DUMMYFUNCTION("IMPORTRANGE(""https://docs.google.com/spreadsheets/d/1XL5vhW3sbDhbH9Cz0tuDiY8C3ctxq1tqvaCgkFb8cCA/edit?usp=sharing"",""กาฬสินธุ์!J398"")"),71)</f>
        <v>71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IFERROR(__xludf.DUMMYFUNCTION("IMPORTRANGE(""https://docs.google.com/spreadsheets/d/1XL5vhW3sbDhbH9Cz0tuDiY8C3ctxq1tqvaCgkFb8cCA/edit?usp=sharing"",""กาฬสินธุ์!J409"")"),190)</f>
        <v>190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IFERROR(__xludf.DUMMYFUNCTION("IMPORTRANGE(""https://docs.google.com/spreadsheets/d/1XL5vhW3sbDhbH9Cz0tuDiY8C3ctxq1tqvaCgkFb8cCA/edit?usp=sharing"",""กาฬสินธุ์!J410"")"),23)</f>
        <v>23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IFERROR(__xludf.DUMMYFUNCTION("IMPORTRANGE(""https://docs.google.com/spreadsheets/d/1XL5vhW3sbDhbH9Cz0tuDiY8C3ctxq1tqvaCgkFb8cCA/edit?usp=sharing"",""กาฬสินธุ์!I412"")"),0)</f>
        <v>0</v>
      </c>
      <c r="J517" s="285">
        <f ca="1">IFERROR(__xludf.DUMMYFUNCTION("IMPORTRANGE(""https://docs.google.com/spreadsheets/d/1XL5vhW3sbDhbH9Cz0tuDiY8C3ctxq1tqvaCgkFb8cCA/edit?usp=sharing"",""กาฬสินธุ์!J412"")"),0)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IFERROR(__xludf.DUMMYFUNCTION("IMPORTRANGE(""https://docs.google.com/spreadsheets/d/1XL5vhW3sbDhbH9Cz0tuDiY8C3ctxq1tqvaCgkFb8cCA/edit?usp=sharing"",""กาฬสินธุ์!I413"")"),0)</f>
        <v>0</v>
      </c>
      <c r="J518" s="285">
        <f ca="1">IFERROR(__xludf.DUMMYFUNCTION("IMPORTRANGE(""https://docs.google.com/spreadsheets/d/1XL5vhW3sbDhbH9Cz0tuDiY8C3ctxq1tqvaCgkFb8cCA/edit?usp=sharing"",""กาฬสินธุ์!J413"")"),0)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IFERROR(__xludf.DUMMYFUNCTION("IMPORTRANGE(""https://docs.google.com/spreadsheets/d/1XL5vhW3sbDhbH9Cz0tuDiY8C3ctxq1tqvaCgkFb8cCA/edit?usp=sharing"",""กาฬสินธุ์!I420"")"),3)</f>
        <v>3</v>
      </c>
      <c r="J525" s="285">
        <f ca="1">IFERROR(__xludf.DUMMYFUNCTION("IMPORTRANGE(""https://docs.google.com/spreadsheets/d/1XL5vhW3sbDhbH9Cz0tuDiY8C3ctxq1tqvaCgkFb8cCA/edit?usp=sharing"",""กาฬสินธุ์!J420"")"),3)</f>
        <v>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IFERROR(__xludf.DUMMYFUNCTION("IMPORTRANGE(""https://docs.google.com/spreadsheets/d/1XL5vhW3sbDhbH9Cz0tuDiY8C3ctxq1tqvaCgkFb8cCA/edit?usp=sharing"",""กาฬสินธุ์!I421"")"),1)</f>
        <v>1</v>
      </c>
      <c r="J526" s="285">
        <f ca="1">IFERROR(__xludf.DUMMYFUNCTION("IMPORTRANGE(""https://docs.google.com/spreadsheets/d/1XL5vhW3sbDhbH9Cz0tuDiY8C3ctxq1tqvaCgkFb8cCA/edit?usp=sharing"",""กาฬสินธุ์!J421"")"),1)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IFERROR(__xludf.DUMMYFUNCTION("IMPORTRANGE(""https://docs.google.com/spreadsheets/d/1XL5vhW3sbDhbH9Cz0tuDiY8C3ctxq1tqvaCgkFb8cCA/edit?usp=sharing"",""กาฬสินธุ์!J422"")"),3)</f>
        <v>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IFERROR(__xludf.DUMMYFUNCTION("IMPORTRANGE(""https://docs.google.com/spreadsheets/d/1XL5vhW3sbDhbH9Cz0tuDiY8C3ctxq1tqvaCgkFb8cCA/edit?usp=sharing"",""กาฬสินธุ์!M428"")"),29559)</f>
        <v>29559</v>
      </c>
      <c r="O533" s="412">
        <f t="shared" ref="O533:O537" ca="1" si="118">+IF(L533&gt;0,N533*100/L533,0)</f>
        <v>92.952830188679243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IFERROR(__xludf.DUMMYFUNCTION("IMPORTRANGE(""https://docs.google.com/spreadsheets/d/1XL5vhW3sbDhbH9Cz0tuDiY8C3ctxq1tqvaCgkFb8cCA/edit?usp=sharing"",""กาฬสินธุ์!L430"")"),31800)</f>
        <v>31800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IFERROR(__xludf.DUMMYFUNCTION("IMPORTRANGE(""https://docs.google.com/spreadsheets/d/1XL5vhW3sbDhbH9Cz0tuDiY8C3ctxq1tqvaCgkFb8cCA/edit?usp=sharing"",""กาฬสินธุ์!M430"")"),29559)</f>
        <v>29559</v>
      </c>
      <c r="O535" s="169">
        <f t="shared" ca="1" si="118"/>
        <v>92.952830188679243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IFERROR(__xludf.DUMMYFUNCTION("IMPORTRANGE(""https://docs.google.com/spreadsheets/d/1XL5vhW3sbDhbH9Cz0tuDiY8C3ctxq1tqvaCgkFb8cCA/edit?usp=sharing"",""กาฬสินธุ์!L432"")"),31800)</f>
        <v>31800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IFERROR(__xludf.DUMMYFUNCTION("IMPORTRANGE(""https://docs.google.com/spreadsheets/d/1XL5vhW3sbDhbH9Cz0tuDiY8C3ctxq1tqvaCgkFb8cCA/edit?usp=sharing"",""กาฬสินธุ์!M432"")"),29559)</f>
        <v>29559</v>
      </c>
      <c r="O537" s="169">
        <f t="shared" ca="1" si="118"/>
        <v>92.952830188679243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IFERROR(__xludf.DUMMYFUNCTION("IMPORTRANGE(""https://docs.google.com/spreadsheets/d/1XL5vhW3sbDhbH9Cz0tuDiY8C3ctxq1tqvaCgkFb8cCA/edit?usp=sharing"",""กาฬสินธุ์!M436"")"),14639)</f>
        <v>14639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IFERROR(__xludf.DUMMYFUNCTION("IMPORTRANGE(""https://docs.google.com/spreadsheets/d/1XL5vhW3sbDhbH9Cz0tuDiY8C3ctxq1tqvaCgkFb8cCA/edit?usp=sharing"",""กาฬสินธุ์!J459"")"),2977)</f>
        <v>2977</v>
      </c>
      <c r="K564" s="372">
        <f ca="1">IF(I564&gt;0,J564*100/I564,0)</f>
        <v>129.43478260869566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IFERROR(__xludf.DUMMYFUNCTION("IMPORTRANGE(""https://docs.google.com/spreadsheets/d/1XL5vhW3sbDhbH9Cz0tuDiY8C3ctxq1tqvaCgkFb8cCA/edit?usp=sharing"",""กาฬสินธุ์!M459"")"),117946.45)</f>
        <v>117946.45</v>
      </c>
      <c r="O564" s="373">
        <f t="shared" ref="O564:O568" ca="1" si="122">+IF(L564&gt;0,N564*100/L564,0)</f>
        <v>82.456970078299776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IFERROR(__xludf.DUMMYFUNCTION("IMPORTRANGE(""https://docs.google.com/spreadsheets/d/1XL5vhW3sbDhbH9Cz0tuDiY8C3ctxq1tqvaCgkFb8cCA/edit?usp=sharing"",""กาฬสินธุ์!M461"")"),117946.45)</f>
        <v>117946.45</v>
      </c>
      <c r="O566" s="169">
        <f t="shared" ca="1" si="122"/>
        <v>82.456970078299776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IFERROR(__xludf.DUMMYFUNCTION("IMPORTRANGE(""https://docs.google.com/spreadsheets/d/1XL5vhW3sbDhbH9Cz0tuDiY8C3ctxq1tqvaCgkFb8cCA/edit?usp=sharing"",""กาฬสินธุ์!M463"")"),117946.45)</f>
        <v>117946.45</v>
      </c>
      <c r="O568" s="169">
        <f t="shared" ca="1" si="122"/>
        <v>82.456970078299776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IFERROR(__xludf.DUMMYFUNCTION("IMPORTRANGE(""https://docs.google.com/spreadsheets/d/1XL5vhW3sbDhbH9Cz0tuDiY8C3ctxq1tqvaCgkFb8cCA/edit?usp=sharing"",""กาฬสินธุ์!M466"")"),83386.45)</f>
        <v>83386.45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IFERROR(__xludf.DUMMYFUNCTION("IMPORTRANGE(""https://docs.google.com/spreadsheets/d/1XL5vhW3sbDhbH9Cz0tuDiY8C3ctxq1tqvaCgkFb8cCA/edit?usp=sharing"",""กาฬสินธุ์!M467"")"),34560)</f>
        <v>34560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IFERROR(__xludf.DUMMYFUNCTION("IMPORTRANGE(""https://docs.google.com/spreadsheets/d/1XL5vhW3sbDhbH9Cz0tuDiY8C3ctxq1tqvaCgkFb8cCA/edit?usp=sharing"",""กาฬสินธุ์!J468"")"),2977)</f>
        <v>2977</v>
      </c>
      <c r="K573" s="202">
        <f ca="1">IF(I573&gt;0,J573*100/I573,0)</f>
        <v>129.43478260869566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IFERROR(__xludf.DUMMYFUNCTION("IMPORTRANGE(""https://docs.google.com/spreadsheets/d/1XL5vhW3sbDhbH9Cz0tuDiY8C3ctxq1tqvaCgkFb8cCA/edit?usp=sharing"",""กาฬสินธุ์!J472"")"),2802)</f>
        <v>2802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IFERROR(__xludf.DUMMYFUNCTION("IMPORTRANGE(""https://docs.google.com/spreadsheets/d/1XL5vhW3sbDhbH9Cz0tuDiY8C3ctxq1tqvaCgkFb8cCA/edit?usp=sharing"",""กาฬสินธุ์!M475"")"),29470)</f>
        <v>29470</v>
      </c>
      <c r="O580" s="373">
        <f t="shared" ref="O580:O584" ca="1" si="124">+IF(L580&gt;0,N580*100/L580,0)</f>
        <v>19.801115366525565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IFERROR(__xludf.DUMMYFUNCTION("IMPORTRANGE(""https://docs.google.com/spreadsheets/d/1XL5vhW3sbDhbH9Cz0tuDiY8C3ctxq1tqvaCgkFb8cCA/edit?usp=sharing"",""กาฬสินธุ์!M477"")"),29470)</f>
        <v>29470</v>
      </c>
      <c r="O582" s="169">
        <f t="shared" ca="1" si="124"/>
        <v>19.801115366525565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IFERROR(__xludf.DUMMYFUNCTION("IMPORTRANGE(""https://docs.google.com/spreadsheets/d/1XL5vhW3sbDhbH9Cz0tuDiY8C3ctxq1tqvaCgkFb8cCA/edit?usp=sharing"",""กาฬสินธุ์!M479"")"),29470)</f>
        <v>29470</v>
      </c>
      <c r="O584" s="169">
        <f t="shared" ca="1" si="124"/>
        <v>19.801115366525565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IFERROR(__xludf.DUMMYFUNCTION("IMPORTRANGE(""https://docs.google.com/spreadsheets/d/1XL5vhW3sbDhbH9Cz0tuDiY8C3ctxq1tqvaCgkFb8cCA/edit?usp=sharing"",""กาฬสินธุ์!M483"")"),29470)</f>
        <v>29470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IFERROR(__xludf.DUMMYFUNCTION("IMPORTRANGE(""https://docs.google.com/spreadsheets/d/1XL5vhW3sbDhbH9Cz0tuDiY8C3ctxq1tqvaCgkFb8cCA/edit?usp=sharing"",""กาฬสินธุ์!J484"")"),36)</f>
        <v>36</v>
      </c>
      <c r="K589" s="163">
        <f t="shared" ref="K589:K596" ca="1" si="125">IF(I589&gt;0,J589*100/I589,0)</f>
        <v>120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IFERROR(__xludf.DUMMYFUNCTION("IMPORTRANGE(""https://docs.google.com/spreadsheets/d/1XL5vhW3sbDhbH9Cz0tuDiY8C3ctxq1tqvaCgkFb8cCA/edit?usp=sharing"",""กาฬสินธุ์!J485"")"),21.84)</f>
        <v>21.84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IFERROR(__xludf.DUMMYFUNCTION("IMPORTRANGE(""https://docs.google.com/spreadsheets/d/1XL5vhW3sbDhbH9Cz0tuDiY8C3ctxq1tqvaCgkFb8cCA/edit?usp=sharing"",""กาฬสินธุ์!J486"")"),13)</f>
        <v>13</v>
      </c>
      <c r="K591" s="163">
        <f t="shared" ca="1" si="125"/>
        <v>43.333333333333336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IFERROR(__xludf.DUMMYFUNCTION("IMPORTRANGE(""https://docs.google.com/spreadsheets/d/1XL5vhW3sbDhbH9Cz0tuDiY8C3ctxq1tqvaCgkFb8cCA/edit?usp=sharing"",""กาฬสินธุ์!J487"")"),9.17)</f>
        <v>9.17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8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IFERROR(__xludf.DUMMYFUNCTION("IMPORTRANGE(""https://docs.google.com/spreadsheets/d/1XL5vhW3sbDhbH9Cz0tuDiY8C3ctxq1tqvaCgkFb8cCA/edit?usp=sharing"",""กาฬสินธุ์!L494"")"),4550)</f>
        <v>4550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30.76923076923077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IFERROR(__xludf.DUMMYFUNCTION("IMPORTRANGE(""https://docs.google.com/spreadsheets/d/1XL5vhW3sbDhbH9Cz0tuDiY8C3ctxq1tqvaCgkFb8cCA/edit?usp=sharing"",""กาฬสินธุ์!L496"")"),4550)</f>
        <v>4550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30.76923076923077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2">
        <f ca="1">IFERROR(__xludf.DUMMYFUNCTION("IMPORTRANGE(""https://docs.google.com/spreadsheets/d/1XL5vhW3sbDhbH9Cz0tuDiY8C3ctxq1tqvaCgkFb8cCA/edit?usp=sharing"",""กาฬสินธุ์!J523"")"),2726576.06)</f>
        <v>2726576.06</v>
      </c>
      <c r="K628" s="343">
        <f t="shared" ref="K628:K635" ca="1" si="129">IF(I628&gt;0,J628*100/I628,0)</f>
        <v>101.4606049526889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IFERROR(__xludf.DUMMYFUNCTION("IMPORTRANGE(""https://docs.google.com/spreadsheets/d/1XL5vhW3sbDhbH9Cz0tuDiY8C3ctxq1tqvaCgkFb8cCA/edit?usp=sharing"",""กาฬสินธุ์!I524"")"),180)</f>
        <v>180</v>
      </c>
      <c r="J629" s="342">
        <f ca="1">IFERROR(__xludf.DUMMYFUNCTION("IMPORTRANGE(""https://docs.google.com/spreadsheets/d/1XL5vhW3sbDhbH9Cz0tuDiY8C3ctxq1tqvaCgkFb8cCA/edit?usp=sharing"",""กาฬสินธุ์!J524"")"),176)</f>
        <v>176</v>
      </c>
      <c r="K629" s="343">
        <f t="shared" ca="1" si="129"/>
        <v>97.777777777777771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2">
        <f ca="1">IFERROR(__xludf.DUMMYFUNCTION("IMPORTRANGE(""https://docs.google.com/spreadsheets/d/1XL5vhW3sbDhbH9Cz0tuDiY8C3ctxq1tqvaCgkFb8cCA/edit?usp=sharing"",""กาฬสินธุ์!J525"")"),2935003.53)</f>
        <v>2935003.53</v>
      </c>
      <c r="K630" s="343">
        <f t="shared" ca="1" si="129"/>
        <v>21.968442851083807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IFERROR(__xludf.DUMMYFUNCTION("IMPORTRANGE(""https://docs.google.com/spreadsheets/d/1XL5vhW3sbDhbH9Cz0tuDiY8C3ctxq1tqvaCgkFb8cCA/edit?usp=sharing"",""กาฬสินธุ์!I526"")"),620)</f>
        <v>620</v>
      </c>
      <c r="J631" s="342">
        <f ca="1">IFERROR(__xludf.DUMMYFUNCTION("IMPORTRANGE(""https://docs.google.com/spreadsheets/d/1XL5vhW3sbDhbH9Cz0tuDiY8C3ctxq1tqvaCgkFb8cCA/edit?usp=sharing"",""กาฬสินธุ์!J526"")"),316)</f>
        <v>316</v>
      </c>
      <c r="K631" s="343">
        <f t="shared" ca="1" si="129"/>
        <v>50.967741935483872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2">
        <f ca="1">IFERROR(__xludf.DUMMYFUNCTION("IMPORTRANGE(""https://docs.google.com/spreadsheets/d/1XL5vhW3sbDhbH9Cz0tuDiY8C3ctxq1tqvaCgkFb8cCA/edit?usp=sharing"",""กาฬสินธุ์!J527"")"),418221.62)</f>
        <v>418221.62</v>
      </c>
      <c r="K632" s="343">
        <f t="shared" ca="1" si="129"/>
        <v>15.544477464612848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IFERROR(__xludf.DUMMYFUNCTION("IMPORTRANGE(""https://docs.google.com/spreadsheets/d/1XL5vhW3sbDhbH9Cz0tuDiY8C3ctxq1tqvaCgkFb8cCA/edit?usp=sharing"",""กาฬสินธุ์!I528"")"),139)</f>
        <v>139</v>
      </c>
      <c r="J633" s="342">
        <f ca="1">IFERROR(__xludf.DUMMYFUNCTION("IMPORTRANGE(""https://docs.google.com/spreadsheets/d/1XL5vhW3sbDhbH9Cz0tuDiY8C3ctxq1tqvaCgkFb8cCA/edit?usp=sharing"",""กาฬสินธุ์!J528"")"),120)</f>
        <v>120</v>
      </c>
      <c r="K633" s="343">
        <f t="shared" ca="1" si="129"/>
        <v>86.330935251798564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IFERROR(__xludf.DUMMYFUNCTION("IMPORTRANGE(""https://docs.google.com/spreadsheets/d/1XL5vhW3sbDhbH9Cz0tuDiY8C3ctxq1tqvaCgkFb8cCA/edit?usp=sharing"",""กาฬสินธุ์!I529"")"),6950000)</f>
        <v>6950000</v>
      </c>
      <c r="J634" s="342">
        <f ca="1">IFERROR(__xludf.DUMMYFUNCTION("IMPORTRANGE(""https://docs.google.com/spreadsheets/d/1XL5vhW3sbDhbH9Cz0tuDiY8C3ctxq1tqvaCgkFb8cCA/edit?usp=sharing"",""กาฬสินธุ์!J529"")"),6950000)</f>
        <v>6950000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3"/>
      <c r="B635" s="554"/>
      <c r="C635" s="554"/>
      <c r="D635" s="555"/>
      <c r="E635" s="556"/>
      <c r="F635" s="556"/>
      <c r="G635" s="557"/>
      <c r="H635" s="504" t="s">
        <v>37</v>
      </c>
      <c r="I635" s="505">
        <f ca="1">IFERROR(__xludf.DUMMYFUNCTION("IMPORTRANGE(""https://docs.google.com/spreadsheets/d/1XL5vhW3sbDhbH9Cz0tuDiY8C3ctxq1tqvaCgkFb8cCA/edit?usp=sharing"",""กาฬสินธุ์!I530"")"),196)</f>
        <v>196</v>
      </c>
      <c r="J635" s="505">
        <f ca="1">IFERROR(__xludf.DUMMYFUNCTION("IMPORTRANGE(""https://docs.google.com/spreadsheets/d/1XL5vhW3sbDhbH9Cz0tuDiY8C3ctxq1tqvaCgkFb8cCA/edit?usp=sharing"",""กาฬสินธุ์!J530"")"),147)</f>
        <v>147</v>
      </c>
      <c r="K635" s="487">
        <f t="shared" ca="1" si="129"/>
        <v>75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960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1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2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960</v>
      </c>
      <c r="M638" s="571"/>
      <c r="N638" s="572">
        <f ca="1">SUM(N639:N640)</f>
        <v>0</v>
      </c>
      <c r="O638" s="572">
        <f t="shared" ca="1" si="130"/>
        <v>0</v>
      </c>
      <c r="P638" s="52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2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960</v>
      </c>
      <c r="M640" s="571"/>
      <c r="N640" s="572">
        <f ca="1">SUM(N641:N644)</f>
        <v>0</v>
      </c>
      <c r="O640" s="572">
        <f t="shared" ca="1" si="130"/>
        <v>0</v>
      </c>
      <c r="P640" s="52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2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2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2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2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1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IFERROR(__xludf.DUMMYFUNCTION("IMPORTRANGE(""https://docs.google.com/spreadsheets/d/1XL5vhW3sbDhbH9Cz0tuDiY8C3ctxq1tqvaCgkFb8cCA/edit#gid=346597447"",""กาฬสินธุ์!J541"")"),0)</f>
        <v>0</v>
      </c>
      <c r="K646" s="569"/>
      <c r="L646" s="571"/>
      <c r="M646" s="571"/>
      <c r="N646" s="583"/>
      <c r="O646" s="569"/>
      <c r="P646" s="51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IFERROR(__xludf.DUMMYFUNCTION("IMPORTRANGE(""https://docs.google.com/spreadsheets/d/1XL5vhW3sbDhbH9Cz0tuDiY8C3ctxq1tqvaCgkFb8cCA/edit#gid=346597447"",""กาฬสินธุ์!J542"")"),0)</f>
        <v>0</v>
      </c>
      <c r="K647" s="569"/>
      <c r="L647" s="571"/>
      <c r="M647" s="571"/>
      <c r="N647" s="571"/>
      <c r="O647" s="569"/>
      <c r="P647" s="51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IFERROR(__xludf.DUMMYFUNCTION("IMPORTRANGE(""https://docs.google.com/spreadsheets/d/1XL5vhW3sbDhbH9Cz0tuDiY8C3ctxq1tqvaCgkFb8cCA/edit#gid=346597447"",""กาฬสินธุ์!I543"")"),0)</f>
        <v>0</v>
      </c>
      <c r="J648" s="586">
        <f ca="1">IFERROR(__xludf.DUMMYFUNCTION("IMPORTRANGE(""https://docs.google.com/spreadsheets/d/1XL5vhW3sbDhbH9Cz0tuDiY8C3ctxq1tqvaCgkFb8cCA/edit#gid=346597447"",""กาฬสินธุ์!J543"")"),0)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IFERROR(__xludf.DUMMYFUNCTION("IMPORTRANGE(""https://docs.google.com/spreadsheets/d/1XL5vhW3sbDhbH9Cz0tuDiY8C3ctxq1tqvaCgkFb8cCA/edit#gid=346597447"",""กาฬสินธุ์!L543"")"),0)</f>
        <v>0</v>
      </c>
      <c r="M648" s="571"/>
      <c r="N648" s="588">
        <f ca="1">IFERROR(__xludf.DUMMYFUNCTION("IMPORTRANGE(""https://docs.google.com/spreadsheets/d/1XL5vhW3sbDhbH9Cz0tuDiY8C3ctxq1tqvaCgkFb8cCA/edit#gid=346597447"",""กาฬสินธุ์!M543"")"),0)</f>
        <v>0</v>
      </c>
      <c r="O648" s="587">
        <f t="shared" ref="O648:O651" ca="1" si="132">IF(L648&gt;0,N648*100/L648,0)</f>
        <v>0</v>
      </c>
      <c r="P648" s="535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IFERROR(__xludf.DUMMYFUNCTION("IMPORTRANGE(""https://docs.google.com/spreadsheets/d/1XL5vhW3sbDhbH9Cz0tuDiY8C3ctxq1tqvaCgkFb8cCA/edit#gid=346597447"",""กาฬสินธุ์!I544"")"),5)</f>
        <v>5</v>
      </c>
      <c r="J649" s="586">
        <f ca="1">IFERROR(__xludf.DUMMYFUNCTION("IMPORTRANGE(""https://docs.google.com/spreadsheets/d/1XL5vhW3sbDhbH9Cz0tuDiY8C3ctxq1tqvaCgkFb8cCA/edit#gid=346597447"",""กาฬสินธุ์!J544"")"),0)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IFERROR(__xludf.DUMMYFUNCTION("IMPORTRANGE(""https://docs.google.com/spreadsheets/d/1XL5vhW3sbDhbH9Cz0tuDiY8C3ctxq1tqvaCgkFb8cCA/edit#gid=346597447"",""กาฬสินธุ์!L544"")"),600)</f>
        <v>600</v>
      </c>
      <c r="M649" s="571"/>
      <c r="N649" s="589">
        <v>0</v>
      </c>
      <c r="O649" s="587">
        <f t="shared" ca="1" si="132"/>
        <v>0</v>
      </c>
      <c r="P649" s="535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IFERROR(__xludf.DUMMYFUNCTION("IMPORTRANGE(""https://docs.google.com/spreadsheets/d/1XL5vhW3sbDhbH9Cz0tuDiY8C3ctxq1tqvaCgkFb8cCA/edit#gid=346597447"",""กาฬสินธุ์!I545"")"),0)</f>
        <v>0</v>
      </c>
      <c r="J650" s="586">
        <f ca="1">IFERROR(__xludf.DUMMYFUNCTION("IMPORTRANGE(""https://docs.google.com/spreadsheets/d/1XL5vhW3sbDhbH9Cz0tuDiY8C3ctxq1tqvaCgkFb8cCA/edit#gid=346597447"",""กาฬสินธุ์!J545"")"),0)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IFERROR(__xludf.DUMMYFUNCTION("IMPORTRANGE(""https://docs.google.com/spreadsheets/d/1XL5vhW3sbDhbH9Cz0tuDiY8C3ctxq1tqvaCgkFb8cCA/edit#gid=346597447"",""กาฬสินธุ์!L545"")"),0)</f>
        <v>0</v>
      </c>
      <c r="M650" s="571"/>
      <c r="N650" s="588">
        <f ca="1">IFERROR(__xludf.DUMMYFUNCTION("IMPORTRANGE(""https://docs.google.com/spreadsheets/d/1XL5vhW3sbDhbH9Cz0tuDiY8C3ctxq1tqvaCgkFb8cCA/edit#gid=346597447"",""กาฬสินธุ์!M545"")"),0)</f>
        <v>0</v>
      </c>
      <c r="O650" s="587">
        <f t="shared" ca="1" si="132"/>
        <v>0</v>
      </c>
      <c r="P650" s="535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IFERROR(__xludf.DUMMYFUNCTION("IMPORTRANGE(""https://docs.google.com/spreadsheets/d/1XL5vhW3sbDhbH9Cz0tuDiY8C3ctxq1tqvaCgkFb8cCA/edit#gid=346597447"",""กาฬสินธุ์!I546"")"),0)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IFERROR(__xludf.DUMMYFUNCTION("IMPORTRANGE(""https://docs.google.com/spreadsheets/d/1XL5vhW3sbDhbH9Cz0tuDiY8C3ctxq1tqvaCgkFb8cCA/edit#gid=346597447"",""กาฬสินธุ์!L546"")"),0)</f>
        <v>0</v>
      </c>
      <c r="M651" s="571"/>
      <c r="N651" s="588">
        <f ca="1">IFERROR(__xludf.DUMMYFUNCTION("IMPORTRANGE(""https://docs.google.com/spreadsheets/d/1XL5vhW3sbDhbH9Cz0tuDiY8C3ctxq1tqvaCgkFb8cCA/edit#gid=346597447"",""กาฬสินธุ์!M546"")"),0)</f>
        <v>0</v>
      </c>
      <c r="O651" s="587">
        <f t="shared" ca="1" si="132"/>
        <v>0</v>
      </c>
      <c r="P651" s="535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IFERROR(__xludf.DUMMYFUNCTION("IMPORTRANGE(""https://docs.google.com/spreadsheets/d/1XL5vhW3sbDhbH9Cz0tuDiY8C3ctxq1tqvaCgkFb8cCA/edit#gid=346597447"",""กาฬสินธุ์!J547"")"),0)</f>
        <v>0</v>
      </c>
      <c r="K652" s="587"/>
      <c r="L652" s="571"/>
      <c r="M652" s="571"/>
      <c r="N652" s="571"/>
      <c r="O652" s="569"/>
      <c r="P652" s="51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IFERROR(__xludf.DUMMYFUNCTION("IMPORTRANGE(""https://docs.google.com/spreadsheets/d/1XL5vhW3sbDhbH9Cz0tuDiY8C3ctxq1tqvaCgkFb8cCA/edit#gid=346597447"",""กาฬสินธุ์!J548"")"),0)</f>
        <v>0</v>
      </c>
      <c r="K653" s="587"/>
      <c r="L653" s="571"/>
      <c r="M653" s="571"/>
      <c r="N653" s="571"/>
      <c r="O653" s="569"/>
      <c r="P653" s="51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1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IFERROR(__xludf.DUMMYFUNCTION("IMPORTRANGE(""https://docs.google.com/spreadsheets/d/1XL5vhW3sbDhbH9Cz0tuDiY8C3ctxq1tqvaCgkFb8cCA/edit#gid=346597447"",""กาฬสินธุ์!J550"")"),0)</f>
        <v>0</v>
      </c>
      <c r="K655" s="587"/>
      <c r="L655" s="571"/>
      <c r="M655" s="571"/>
      <c r="N655" s="571"/>
      <c r="O655" s="569"/>
      <c r="P655" s="51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IFERROR(__xludf.DUMMYFUNCTION("IMPORTRANGE(""https://docs.google.com/spreadsheets/d/1XL5vhW3sbDhbH9Cz0tuDiY8C3ctxq1tqvaCgkFb8cCA/edit#gid=346597447"",""กาฬสินธุ์!J551"")"),0)</f>
        <v>0</v>
      </c>
      <c r="K656" s="587"/>
      <c r="L656" s="571"/>
      <c r="M656" s="571"/>
      <c r="N656" s="571"/>
      <c r="O656" s="569"/>
      <c r="P656" s="51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IFERROR(__xludf.DUMMYFUNCTION("IMPORTRANGE(""https://docs.google.com/spreadsheets/d/1XL5vhW3sbDhbH9Cz0tuDiY8C3ctxq1tqvaCgkFb8cCA/edit#gid=346597447"",""กาฬสินธุ์!J552"")"),0)</f>
        <v>0</v>
      </c>
      <c r="K657" s="587"/>
      <c r="L657" s="571"/>
      <c r="M657" s="571"/>
      <c r="N657" s="571"/>
      <c r="O657" s="569"/>
      <c r="P657" s="51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IFERROR(__xludf.DUMMYFUNCTION("IMPORTRANGE(""https://docs.google.com/spreadsheets/d/1XL5vhW3sbDhbH9Cz0tuDiY8C3ctxq1tqvaCgkFb8cCA/edit#gid=346597447"",""กาฬสินธุ์!J553"")"),0)</f>
        <v>0</v>
      </c>
      <c r="K658" s="587"/>
      <c r="L658" s="571"/>
      <c r="M658" s="571"/>
      <c r="N658" s="571"/>
      <c r="O658" s="569"/>
      <c r="P658" s="51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IFERROR(__xludf.DUMMYFUNCTION("IMPORTRANGE(""https://docs.google.com/spreadsheets/d/1XL5vhW3sbDhbH9Cz0tuDiY8C3ctxq1tqvaCgkFb8cCA/edit#gid=346597447"",""กาฬสินธุ์!J554"")"),0)</f>
        <v>0</v>
      </c>
      <c r="K659" s="587"/>
      <c r="L659" s="571"/>
      <c r="M659" s="571"/>
      <c r="N659" s="571"/>
      <c r="O659" s="569"/>
      <c r="P659" s="51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IFERROR(__xludf.DUMMYFUNCTION("IMPORTRANGE(""https://docs.google.com/spreadsheets/d/1XL5vhW3sbDhbH9Cz0tuDiY8C3ctxq1tqvaCgkFb8cCA/edit#gid=346597447"",""กาฬสินธุ์!J555"")"),0)</f>
        <v>0</v>
      </c>
      <c r="K660" s="587"/>
      <c r="L660" s="571"/>
      <c r="M660" s="571"/>
      <c r="N660" s="571"/>
      <c r="O660" s="569"/>
      <c r="P660" s="51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IFERROR(__xludf.DUMMYFUNCTION("IMPORTRANGE(""https://docs.google.com/spreadsheets/d/1XL5vhW3sbDhbH9Cz0tuDiY8C3ctxq1tqvaCgkFb8cCA/edit#gid=346597447"",""กาฬสินธุ์!J556"")"),0)</f>
        <v>0</v>
      </c>
      <c r="K661" s="587"/>
      <c r="L661" s="572">
        <f ca="1">IFERROR(__xludf.DUMMYFUNCTION("IMPORTRANGE(""https://docs.google.com/spreadsheets/d/1XL5vhW3sbDhbH9Cz0tuDiY8C3ctxq1tqvaCgkFb8cCA/edit#gid=346597447"",""กาฬสินธุ์!L556"")"),0)</f>
        <v>0</v>
      </c>
      <c r="M661" s="571"/>
      <c r="N661" s="588">
        <f ca="1">IFERROR(__xludf.DUMMYFUNCTION("IMPORTRANGE(""https://docs.google.com/spreadsheets/d/1XL5vhW3sbDhbH9Cz0tuDiY8C3ctxq1tqvaCgkFb8cCA/edit#gid=346597447"",""กาฬสินธุ์!M556"")"),0)</f>
        <v>0</v>
      </c>
      <c r="O661" s="587">
        <f ca="1">IF(L661&gt;0,N661*100/L661,0)</f>
        <v>0</v>
      </c>
      <c r="P661" s="535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IFERROR(__xludf.DUMMYFUNCTION("IMPORTRANGE(""https://docs.google.com/spreadsheets/d/1XL5vhW3sbDhbH9Cz0tuDiY8C3ctxq1tqvaCgkFb8cCA/edit#gid=346597447"",""กาฬสินธุ์!J557"")"),0)</f>
        <v>0</v>
      </c>
      <c r="K662" s="587"/>
      <c r="L662" s="571"/>
      <c r="M662" s="571"/>
      <c r="N662" s="571"/>
      <c r="O662" s="569"/>
      <c r="P662" s="51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IFERROR(__xludf.DUMMYFUNCTION("IMPORTRANGE(""https://docs.google.com/spreadsheets/d/1XL5vhW3sbDhbH9Cz0tuDiY8C3ctxq1tqvaCgkFb8cCA/edit#gid=346597447"",""กาฬสินธุ์!I558"")"),0)</f>
        <v>0</v>
      </c>
      <c r="J663" s="586">
        <f ca="1">IFERROR(__xludf.DUMMYFUNCTION("IMPORTRANGE(""https://docs.google.com/spreadsheets/d/1XL5vhW3sbDhbH9Cz0tuDiY8C3ctxq1tqvaCgkFb8cCA/edit#gid=346597447"",""กาฬสินธุ์!J558"")"),0)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1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1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IFERROR(__xludf.DUMMYFUNCTION("IMPORTRANGE(""https://docs.google.com/spreadsheets/d/1XL5vhW3sbDhbH9Cz0tuDiY8C3ctxq1tqvaCgkFb8cCA/edit#gid=346597447"",""กาฬสินธุ์!I560"")"),3)</f>
        <v>3</v>
      </c>
      <c r="J665" s="586">
        <f ca="1">IFERROR(__xludf.DUMMYFUNCTION("IMPORTRANGE(""https://docs.google.com/spreadsheets/d/1XL5vhW3sbDhbH9Cz0tuDiY8C3ctxq1tqvaCgkFb8cCA/edit#gid=346597447"",""กาฬสินธุ์!J560"")"),0)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IFERROR(__xludf.DUMMYFUNCTION("IMPORTRANGE(""https://docs.google.com/spreadsheets/d/1XL5vhW3sbDhbH9Cz0tuDiY8C3ctxq1tqvaCgkFb8cCA/edit#gid=346597447"",""กาฬสินธุ์!L560"")"),360)</f>
        <v>360</v>
      </c>
      <c r="M665" s="571"/>
      <c r="N665" s="588">
        <f ca="1">IFERROR(__xludf.DUMMYFUNCTION("IMPORTRANGE(""https://docs.google.com/spreadsheets/d/1XL5vhW3sbDhbH9Cz0tuDiY8C3ctxq1tqvaCgkFb8cCA/edit#gid=346597447"",""กาฬสินธุ์!M560"")"),0)</f>
        <v>0</v>
      </c>
      <c r="O665" s="587">
        <f ca="1">IF(L665&gt;0,N665*100/L665,0)</f>
        <v>0</v>
      </c>
      <c r="P665" s="535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IFERROR(__xludf.DUMMYFUNCTION("IMPORTRANGE(""https://docs.google.com/spreadsheets/d/1XL5vhW3sbDhbH9Cz0tuDiY8C3ctxq1tqvaCgkFb8cCA/edit#gid=346597447"",""กาฬสินธุ์!J561"")"),0)</f>
        <v>0</v>
      </c>
      <c r="K666" s="587"/>
      <c r="L666" s="571"/>
      <c r="M666" s="571"/>
      <c r="N666" s="571"/>
      <c r="O666" s="569"/>
      <c r="P666" s="51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IFERROR(__xludf.DUMMYFUNCTION("IMPORTRANGE(""https://docs.google.com/spreadsheets/d/1XL5vhW3sbDhbH9Cz0tuDiY8C3ctxq1tqvaCgkFb8cCA/edit#gid=346597447"",""กาฬสินธุ์!J562"")"),0)</f>
        <v>0</v>
      </c>
      <c r="K667" s="587"/>
      <c r="L667" s="571"/>
      <c r="M667" s="571"/>
      <c r="N667" s="571"/>
      <c r="O667" s="569"/>
      <c r="P667" s="51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IFERROR(__xludf.DUMMYFUNCTION("IMPORTRANGE(""https://docs.google.com/spreadsheets/d/1XL5vhW3sbDhbH9Cz0tuDiY8C3ctxq1tqvaCgkFb8cCA/edit#gid=346597447"",""กาฬสินธุ์!I563"")"),0)</f>
        <v>0</v>
      </c>
      <c r="J668" s="586">
        <f ca="1">IFERROR(__xludf.DUMMYFUNCTION("IMPORTRANGE(""https://docs.google.com/spreadsheets/d/1XL5vhW3sbDhbH9Cz0tuDiY8C3ctxq1tqvaCgkFb8cCA/edit#gid=346597447"",""กาฬสินธุ์!J563"")"),0)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IFERROR(__xludf.DUMMYFUNCTION("IMPORTRANGE(""https://docs.google.com/spreadsheets/d/1XL5vhW3sbDhbH9Cz0tuDiY8C3ctxq1tqvaCgkFb8cCA/edit#gid=346597447"",""กาฬสินธุ์!L563"")"),0)</f>
        <v>0</v>
      </c>
      <c r="M668" s="571"/>
      <c r="N668" s="588">
        <f ca="1">IFERROR(__xludf.DUMMYFUNCTION("IMPORTRANGE(""https://docs.google.com/spreadsheets/d/1XL5vhW3sbDhbH9Cz0tuDiY8C3ctxq1tqvaCgkFb8cCA/edit#gid=346597447"",""กาฬสินธุ์!M563"")"),0)</f>
        <v>0</v>
      </c>
      <c r="O668" s="587">
        <f ca="1">IF(L668&gt;0,N668*100/L668,0)</f>
        <v>0</v>
      </c>
      <c r="P668" s="535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IFERROR(__xludf.DUMMYFUNCTION("IMPORTRANGE(""https://docs.google.com/spreadsheets/d/1XL5vhW3sbDhbH9Cz0tuDiY8C3ctxq1tqvaCgkFb8cCA/edit#gid=346597447"",""กาฬสินธุ์!J564"")"),0)</f>
        <v>0</v>
      </c>
      <c r="K669" s="587"/>
      <c r="L669" s="571"/>
      <c r="M669" s="571"/>
      <c r="N669" s="571"/>
      <c r="O669" s="569"/>
      <c r="P669" s="51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IFERROR(__xludf.DUMMYFUNCTION("IMPORTRANGE(""https://docs.google.com/spreadsheets/d/1XL5vhW3sbDhbH9Cz0tuDiY8C3ctxq1tqvaCgkFb8cCA/edit#gid=346597447"",""กาฬสินธุ์!J565"")"),0)</f>
        <v>0</v>
      </c>
      <c r="K670" s="587"/>
      <c r="L670" s="571"/>
      <c r="M670" s="571"/>
      <c r="N670" s="571"/>
      <c r="O670" s="569"/>
      <c r="P670" s="51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IFERROR(__xludf.DUMMYFUNCTION("IMPORTRANGE(""https://docs.google.com/spreadsheets/d/1XL5vhW3sbDhbH9Cz0tuDiY8C3ctxq1tqvaCgkFb8cCA/edit#gid=346597447"",""กาฬสินธุ์!I566"")"),0)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IFERROR(__xludf.DUMMYFUNCTION("IMPORTRANGE(""https://docs.google.com/spreadsheets/d/1XL5vhW3sbDhbH9Cz0tuDiY8C3ctxq1tqvaCgkFb8cCA/edit#gid=346597447"",""กาฬสินธุ์!L566"")"),0)</f>
        <v>0</v>
      </c>
      <c r="M671" s="571"/>
      <c r="N671" s="588">
        <f ca="1">IFERROR(__xludf.DUMMYFUNCTION("IMPORTRANGE(""https://docs.google.com/spreadsheets/d/1XL5vhW3sbDhbH9Cz0tuDiY8C3ctxq1tqvaCgkFb8cCA/edit#gid=346597447"",""กาฬสินธุ์!M566"")"),0)</f>
        <v>0</v>
      </c>
      <c r="O671" s="587">
        <f ca="1">IF(L671&gt;0,N671*100/L671,0)</f>
        <v>0</v>
      </c>
      <c r="P671" s="535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IFERROR(__xludf.DUMMYFUNCTION("IMPORTRANGE(""https://docs.google.com/spreadsheets/d/1XL5vhW3sbDhbH9Cz0tuDiY8C3ctxq1tqvaCgkFb8cCA/edit#gid=346597447"",""กาฬสินธุ์!J567"")"),0)</f>
        <v>0</v>
      </c>
      <c r="K672" s="587"/>
      <c r="L672" s="571"/>
      <c r="M672" s="571"/>
      <c r="N672" s="571"/>
      <c r="O672" s="569"/>
      <c r="P672" s="51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IFERROR(__xludf.DUMMYFUNCTION("IMPORTRANGE(""https://docs.google.com/spreadsheets/d/1XL5vhW3sbDhbH9Cz0tuDiY8C3ctxq1tqvaCgkFb8cCA/edit#gid=346597447"",""กาฬสินธุ์!J568"")"),0)</f>
        <v>0</v>
      </c>
      <c r="K673" s="587"/>
      <c r="L673" s="571"/>
      <c r="M673" s="571"/>
      <c r="N673" s="571"/>
      <c r="O673" s="569"/>
      <c r="P673" s="51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IFERROR(__xludf.DUMMYFUNCTION("IMPORTRANGE(""https://docs.google.com/spreadsheets/d/1XL5vhW3sbDhbH9Cz0tuDiY8C3ctxq1tqvaCgkFb8cCA/edit#gid=346597447"",""กาฬสินธุ์!J569"")"),0)</f>
        <v>0</v>
      </c>
      <c r="K674" s="587"/>
      <c r="L674" s="571"/>
      <c r="M674" s="571"/>
      <c r="N674" s="571"/>
      <c r="O674" s="569"/>
      <c r="P674" s="51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IFERROR(__xludf.DUMMYFUNCTION("IMPORTRANGE(""https://docs.google.com/spreadsheets/d/1XL5vhW3sbDhbH9Cz0tuDiY8C3ctxq1tqvaCgkFb8cCA/edit#gid=346597447"",""กาฬสินธุ์!J570"")"),0)</f>
        <v>0</v>
      </c>
      <c r="K675" s="587"/>
      <c r="L675" s="571"/>
      <c r="M675" s="571"/>
      <c r="N675" s="571"/>
      <c r="O675" s="569"/>
      <c r="P675" s="51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IFERROR(__xludf.DUMMYFUNCTION("IMPORTRANGE(""https://docs.google.com/spreadsheets/d/1XL5vhW3sbDhbH9Cz0tuDiY8C3ctxq1tqvaCgkFb8cCA/edit#gid=346597447"",""กาฬสินธุ์!J571"")"),0)</f>
        <v>0</v>
      </c>
      <c r="K676" s="587"/>
      <c r="L676" s="571"/>
      <c r="M676" s="571"/>
      <c r="N676" s="571"/>
      <c r="O676" s="569"/>
      <c r="P676" s="51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IFERROR(__xludf.DUMMYFUNCTION("IMPORTRANGE(""https://docs.google.com/spreadsheets/d/1XL5vhW3sbDhbH9Cz0tuDiY8C3ctxq1tqvaCgkFb8cCA/edit#gid=346597447"",""กาฬสินธุ์!J572"")"),0)</f>
        <v>0</v>
      </c>
      <c r="K677" s="599"/>
      <c r="L677" s="600"/>
      <c r="M677" s="600"/>
      <c r="N677" s="600"/>
      <c r="O677" s="599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9070261</v>
      </c>
      <c r="M8" s="23">
        <f t="shared" ca="1" si="0"/>
        <v>5739465.7400000002</v>
      </c>
      <c r="N8" s="23">
        <f t="shared" ca="1" si="0"/>
        <v>8248308.9000000004</v>
      </c>
      <c r="O8" s="22">
        <f t="shared" ref="O8:O16" ca="1" si="1">IF(L8&gt;0,N8*100/L8,0)</f>
        <v>90.937944343608194</v>
      </c>
      <c r="P8" s="22">
        <f t="shared" ref="P8:P16" ca="1" si="2">IF(M8&gt;0,N8*100/M8,0)</f>
        <v>143.71213756909714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9070261</v>
      </c>
      <c r="M10" s="30">
        <f t="shared" ca="1" si="4"/>
        <v>5739465.7400000002</v>
      </c>
      <c r="N10" s="30">
        <f t="shared" ca="1" si="4"/>
        <v>8248308.9000000004</v>
      </c>
      <c r="O10" s="29">
        <f t="shared" ca="1" si="1"/>
        <v>90.937944343608194</v>
      </c>
      <c r="P10" s="29">
        <f t="shared" ca="1" si="2"/>
        <v>143.71213756909714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8703121</v>
      </c>
      <c r="M12" s="38">
        <f t="shared" ca="1" si="6"/>
        <v>5430525.7400000002</v>
      </c>
      <c r="N12" s="38">
        <f t="shared" ca="1" si="6"/>
        <v>7889168.9000000004</v>
      </c>
      <c r="O12" s="38">
        <f t="shared" ca="1" si="1"/>
        <v>90.647583780577108</v>
      </c>
      <c r="P12" s="38">
        <f t="shared" ca="1" si="2"/>
        <v>145.27449601960637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6449021</v>
      </c>
      <c r="M14" s="38">
        <f t="shared" si="8"/>
        <v>0</v>
      </c>
      <c r="N14" s="38">
        <f t="shared" ca="1" si="8"/>
        <v>2990590.3000000003</v>
      </c>
      <c r="O14" s="38">
        <f t="shared" ca="1" si="1"/>
        <v>46.372779682373498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367140</v>
      </c>
      <c r="M16" s="38">
        <f t="shared" ca="1" si="10"/>
        <v>308940</v>
      </c>
      <c r="N16" s="38">
        <f t="shared" ca="1" si="10"/>
        <v>359140</v>
      </c>
      <c r="O16" s="49">
        <f t="shared" ca="1" si="1"/>
        <v>97.820994715912192</v>
      </c>
      <c r="P16" s="49">
        <f t="shared" ca="1" si="2"/>
        <v>116.24910985951965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5520570</v>
      </c>
      <c r="M18" s="23">
        <f t="shared" ca="1" si="11"/>
        <v>5739465.7400000002</v>
      </c>
      <c r="N18" s="23">
        <f t="shared" ca="1" si="11"/>
        <v>5257718.6000000006</v>
      </c>
      <c r="O18" s="22">
        <f t="shared" ref="O18:O20" ca="1" si="12">IF(L18&gt;0,N18*100/L18,0)</f>
        <v>95.238690932276938</v>
      </c>
      <c r="P18" s="22">
        <f t="shared" ref="P18:P26" ca="1" si="13">IF(M18&gt;0,N18*100/M18,0)</f>
        <v>91.606411435779393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5520570</v>
      </c>
      <c r="M20" s="30">
        <f t="shared" ca="1" si="15"/>
        <v>5739465.7400000002</v>
      </c>
      <c r="N20" s="30">
        <f t="shared" ca="1" si="15"/>
        <v>5257718.6000000006</v>
      </c>
      <c r="O20" s="29">
        <f t="shared" ca="1" si="12"/>
        <v>95.238690932276938</v>
      </c>
      <c r="P20" s="29">
        <f t="shared" ca="1" si="13"/>
        <v>91.606411435779393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5153430</v>
      </c>
      <c r="M22" s="41">
        <f t="shared" ca="1" si="18"/>
        <v>5430525.7400000002</v>
      </c>
      <c r="N22" s="38">
        <f t="shared" ca="1" si="18"/>
        <v>4898578.6000000006</v>
      </c>
      <c r="O22" s="38">
        <f t="shared" ca="1" si="17"/>
        <v>95.054722776869014</v>
      </c>
      <c r="P22" s="38">
        <f t="shared" ca="1" si="13"/>
        <v>90.204500163183098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2899330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367140</v>
      </c>
      <c r="M26" s="49">
        <f t="shared" ca="1" si="22"/>
        <v>308940</v>
      </c>
      <c r="N26" s="49">
        <f t="shared" ca="1" si="22"/>
        <v>359140</v>
      </c>
      <c r="O26" s="49">
        <f t="shared" ca="1" si="17"/>
        <v>97.820994715912192</v>
      </c>
      <c r="P26" s="49">
        <f t="shared" ca="1" si="13"/>
        <v>116.24910985951965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3549691</v>
      </c>
      <c r="M28" s="23">
        <f t="shared" si="23"/>
        <v>0</v>
      </c>
      <c r="N28" s="23">
        <f t="shared" ca="1" si="23"/>
        <v>2990590.3000000003</v>
      </c>
      <c r="O28" s="22">
        <f t="shared" ref="O28:O30" ca="1" si="24">IF(L28&gt;0,N28*100/L28,0)</f>
        <v>84.249313531797554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3549691</v>
      </c>
      <c r="M30" s="30">
        <f t="shared" si="27"/>
        <v>0</v>
      </c>
      <c r="N30" s="30">
        <f t="shared" ca="1" si="27"/>
        <v>2990590.3000000003</v>
      </c>
      <c r="O30" s="29">
        <f t="shared" ca="1" si="24"/>
        <v>84.249313531797554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3549691</v>
      </c>
      <c r="M32" s="38">
        <f t="shared" si="30"/>
        <v>0</v>
      </c>
      <c r="N32" s="38">
        <f t="shared" ca="1" si="30"/>
        <v>2990590.3000000003</v>
      </c>
      <c r="O32" s="38">
        <f t="shared" ca="1" si="29"/>
        <v>84.249313531797554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3549691</v>
      </c>
      <c r="M34" s="38">
        <f t="shared" si="32"/>
        <v>0</v>
      </c>
      <c r="N34" s="38">
        <f t="shared" ca="1" si="32"/>
        <v>2990590.3000000003</v>
      </c>
      <c r="O34" s="38">
        <f t="shared" ca="1" si="29"/>
        <v>84.249313531797554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5520570</v>
      </c>
      <c r="M37" s="54">
        <f t="shared" ca="1" si="33"/>
        <v>5739465.7400000002</v>
      </c>
      <c r="N37" s="54">
        <f t="shared" ca="1" si="33"/>
        <v>5257718.6000000006</v>
      </c>
      <c r="O37" s="55">
        <f t="shared" ca="1" si="29"/>
        <v>95.238690932276938</v>
      </c>
      <c r="P37" s="55">
        <f t="shared" ca="1" si="25"/>
        <v>91.606411435779393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907300</v>
      </c>
      <c r="M41" s="78">
        <f t="shared" ca="1" si="34"/>
        <v>869100</v>
      </c>
      <c r="N41" s="78">
        <f t="shared" ca="1" si="34"/>
        <v>835095.7</v>
      </c>
      <c r="O41" s="77">
        <f t="shared" ref="O41:O43" ca="1" si="35">IF(L41&gt;0,N41*100/L41,0)</f>
        <v>92.041849443403507</v>
      </c>
      <c r="P41" s="77">
        <f t="shared" ref="P41:P43" ca="1" si="36">IF(M41&gt;0,N41*100/M41,0)</f>
        <v>96.087412265562079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907300</v>
      </c>
      <c r="M43" s="78">
        <f t="shared" ca="1" si="38"/>
        <v>869100</v>
      </c>
      <c r="N43" s="78">
        <f t="shared" ca="1" si="38"/>
        <v>835095.7</v>
      </c>
      <c r="O43" s="77">
        <f t="shared" ca="1" si="35"/>
        <v>92.041849443403507</v>
      </c>
      <c r="P43" s="77">
        <f t="shared" ca="1" si="36"/>
        <v>96.087412265562079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623">
        <f ca="1">IFERROR(__xludf.DUMMYFUNCTION("IMPORTRANGE(""https://docs.google.com/spreadsheets/d/1Yj_ptqi66GCucihVvJfMjLAmec39IyEx_6qawtMGysU/edit?usp=sharing"",""สบก!Q56"")"),869100)</f>
        <v>869100</v>
      </c>
      <c r="N45" s="623">
        <f ca="1">IFERROR(__xludf.DUMMYFUNCTION("IMPORTRANGE(""https://docs.google.com/spreadsheets/d/1Yj_ptqi66GCucihVvJfMjLAmec39IyEx_6qawtMGysU/edit?usp=sharing"",""สบก!R56"")"),776895.7)</f>
        <v>776895.7</v>
      </c>
      <c r="O45" s="624">
        <f ca="1">IF(L45&gt;0,N45*100/L45,0)</f>
        <v>91.496372629843364</v>
      </c>
      <c r="P45" s="624">
        <f ca="1">IF(M45&gt;0,N45*100/M45,0)</f>
        <v>89.390829593832706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IFERROR(__xludf.DUMMYFUNCTION("IMPORTRANGE(""https://docs.google.com/spreadsheets/d/1Yj_ptqi66GCucihVvJfMjLAmec39IyEx_6qawtMGysU/edit?usp=sharing"",""สบก!M56"")"),849100)</f>
        <v>849100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IFERROR(__xludf.DUMMYFUNCTION("IMPORTRANGE(""https://docs.google.com/spreadsheets/d/1Yj_ptqi66GCucihVvJfMjLAmec39IyEx_6qawtMGysU/edit?usp=sharing"",""สบก!O56"")"),58200)</f>
        <v>58200</v>
      </c>
      <c r="M49" s="626"/>
      <c r="N49" s="623">
        <f ca="1">IFERROR(__xludf.DUMMYFUNCTION("IMPORTRANGE(""https://docs.google.com/spreadsheets/d/1Yj_ptqi66GCucihVvJfMjLAmec39IyEx_6qawtMGysU/edit?usp=sharing"",""สบก!S56"")"),58200)</f>
        <v>58200</v>
      </c>
      <c r="O49" s="626">
        <f ca="1">IF(L49&gt;0,N49*100/L49,0)</f>
        <v>100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722855.74</v>
      </c>
      <c r="N53" s="121">
        <f t="shared" ca="1" si="39"/>
        <v>648908</v>
      </c>
      <c r="O53" s="120">
        <f t="shared" ref="O53:O55" ca="1" si="40">IF(L53&gt;0,N53*100/L53,0)</f>
        <v>103.00126984126985</v>
      </c>
      <c r="P53" s="120">
        <f t="shared" ref="P53:P55" ca="1" si="41">IF(M53&gt;0,N53*100/M53,0)</f>
        <v>89.770055640700875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722855.74</v>
      </c>
      <c r="N55" s="121">
        <f t="shared" ca="1" si="43"/>
        <v>648908</v>
      </c>
      <c r="O55" s="120">
        <f t="shared" ca="1" si="40"/>
        <v>103.00126984126985</v>
      </c>
      <c r="P55" s="120">
        <f t="shared" ca="1" si="41"/>
        <v>89.770055640700875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3">
        <f ca="1">IFERROR(__xludf.DUMMYFUNCTION("IMPORTRANGE(""https://docs.google.com/spreadsheets/d/1Yj_ptqi66GCucihVvJfMjLAmec39IyEx_6qawtMGysU/edit?usp=sharing"",""สบก!Z56"")"),722855.74)</f>
        <v>722855.74</v>
      </c>
      <c r="N57" s="623">
        <f ca="1">IFERROR(__xludf.DUMMYFUNCTION("IMPORTRANGE(""https://docs.google.com/spreadsheets/d/1Yj_ptqi66GCucihVvJfMjLAmec39IyEx_6qawtMGysU/edit?usp=sharing"",""สบก!AA56"")"),648908)</f>
        <v>648908</v>
      </c>
      <c r="O57" s="624">
        <f ca="1">IF(L57&gt;0,N57*100/L57,0)</f>
        <v>103.00126984126985</v>
      </c>
      <c r="P57" s="624">
        <f ca="1">IF(M57&gt;0,N57*100/M57,0)</f>
        <v>89.770055640700875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IFERROR(__xludf.DUMMYFUNCTION("IMPORTRANGE(""https://docs.google.com/spreadsheets/d/1Yj_ptqi66GCucihVvJfMjLAmec39IyEx_6qawtMGysU/edit?usp=sharing"",""สบก!V56"")"),630000)</f>
        <v>630000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IFERROR(__xludf.DUMMYFUNCTION("IMPORTRANGE(""https://docs.google.com/spreadsheets/d/1Yj_ptqi66GCucihVvJfMjLAmec39IyEx_6qawtMGysU/edit?usp=sharing"",""สบก!X56"")"),0)</f>
        <v>0</v>
      </c>
      <c r="M61" s="626"/>
      <c r="N61" s="623">
        <f ca="1">IFERROR(__xludf.DUMMYFUNCTION("IMPORTRANGE(""https://docs.google.com/spreadsheets/d/1Yj_ptqi66GCucihVvJfMjLAmec39IyEx_6qawtMGysU/edit?usp=sharing"",""สบก!AB56"")"),0)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1220940</v>
      </c>
      <c r="M66" s="152">
        <f t="shared" ca="1" si="45"/>
        <v>1227560</v>
      </c>
      <c r="N66" s="152">
        <f t="shared" ca="1" si="45"/>
        <v>1133417.6299999999</v>
      </c>
      <c r="O66" s="151">
        <f t="shared" ref="O66:O68" ca="1" si="46">IF(L66&gt;0,N66*100/L66,0)</f>
        <v>92.831558471341737</v>
      </c>
      <c r="P66" s="151">
        <f t="shared" ref="P66:P68" ca="1" si="47">IF(M66&gt;0,N66*100/M66,0)</f>
        <v>92.330935351428835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1220940</v>
      </c>
      <c r="M68" s="157">
        <f t="shared" ca="1" si="49"/>
        <v>1227560</v>
      </c>
      <c r="N68" s="157">
        <f t="shared" ca="1" si="49"/>
        <v>1133417.6299999999</v>
      </c>
      <c r="O68" s="156">
        <f t="shared" ca="1" si="46"/>
        <v>92.831558471341737</v>
      </c>
      <c r="P68" s="156">
        <f t="shared" ca="1" si="47"/>
        <v>92.330935351428835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1059000</v>
      </c>
      <c r="M70" s="627">
        <f ca="1">IFERROR(__xludf.DUMMYFUNCTION("IMPORTRANGE(""https://docs.google.com/spreadsheets/d/1Yj_ptqi66GCucihVvJfMjLAmec39IyEx_6qawtMGysU/edit?usp=sharing"",""สบก!AI56"")"),1065620)</f>
        <v>1065620</v>
      </c>
      <c r="N70" s="628">
        <f ca="1">IFERROR(__xludf.DUMMYFUNCTION("IMPORTRANGE(""https://docs.google.com/spreadsheets/d/1Yj_ptqi66GCucihVvJfMjLAmec39IyEx_6qawtMGysU/edit?usp=sharing"",""สบก!AJ56"")"),971477.63)</f>
        <v>971477.63</v>
      </c>
      <c r="O70" s="169">
        <f ca="1">IF(L70&gt;0,N70*100/L70,0)</f>
        <v>91.735375826251186</v>
      </c>
      <c r="P70" s="169">
        <f ca="1">IF(M70&gt;0,N70*100/M70,0)</f>
        <v>91.165483943619677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IFERROR(__xludf.DUMMYFUNCTION("IMPORTRANGE(""https://docs.google.com/spreadsheets/d/1Yj_ptqi66GCucihVvJfMjLAmec39IyEx_6qawtMGysU/edit?usp=sharing"",""สบก!AF56"")"),590000)</f>
        <v>590000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IFERROR(__xludf.DUMMYFUNCTION("IMPORTRANGE(""https://docs.google.com/spreadsheets/d/1Yj_ptqi66GCucihVvJfMjLAmec39IyEx_6qawtMGysU/edit?usp=sharing"",""สบก!AG56"")"),161940)</f>
        <v>161940</v>
      </c>
      <c r="M74" s="626">
        <f ca="1">L74</f>
        <v>161940</v>
      </c>
      <c r="N74" s="623">
        <f ca="1">IFERROR(__xludf.DUMMYFUNCTION("IMPORTRANGE(""https://docs.google.com/spreadsheets/d/1Yj_ptqi66GCucihVvJfMjLAmec39IyEx_6qawtMGysU/edit?usp=sharing"",""สบก!AK56"")"),161940)</f>
        <v>161940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IFERROR(__xludf.DUMMYFUNCTION("IMPORTRANGE(""https://docs.google.com/spreadsheets/d/1XL5vhW3sbDhbH9Cz0tuDiY8C3ctxq1tqvaCgkFb8cCA/edit?usp=sharing"",""อุดรธานี!I28"")"),1)</f>
        <v>1</v>
      </c>
      <c r="J88" s="204">
        <f ca="1">IFERROR(__xludf.DUMMYFUNCTION("IMPORTRANGE(""https://docs.google.com/spreadsheets/d/1XL5vhW3sbDhbH9Cz0tuDiY8C3ctxq1tqvaCgkFb8cCA/edit?usp=sharing"",""อุดรธานี!J28"")"),1)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IFERROR(__xludf.DUMMYFUNCTION("IMPORTRANGE(""https://docs.google.com/spreadsheets/d/1XL5vhW3sbDhbH9Cz0tuDiY8C3ctxq1tqvaCgkFb8cCA/edit?usp=sharing"",""อุดรธานี!J30"")"),1)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IFERROR(__xludf.DUMMYFUNCTION("IMPORTRANGE(""https://docs.google.com/spreadsheets/d/1Yj_ptqi66GCucihVvJfMjLAmec39IyEx_6qawtMGysU/edit?usp=sharing"",""สบก!AR56"")"),0)</f>
        <v>0</v>
      </c>
      <c r="N98" s="628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IFERROR(__xludf.DUMMYFUNCTION("IMPORTRANGE(""https://docs.google.com/spreadsheets/d/1Yj_ptqi66GCucihVvJfMjLAmec39IyEx_6qawtMGysU/edit?usp=sharing"",""สบก!AP56"")"),0)</f>
        <v>0</v>
      </c>
      <c r="M102" s="626"/>
      <c r="N102" s="623">
        <f ca="1">IFERROR(__xludf.DUMMYFUNCTION("IMPORTRANGE(""https://docs.google.com/spreadsheets/d/1Yj_ptqi66GCucihVvJfMjLAmec39IyEx_6qawtMGysU/edit?usp=sharing"",""สบก!AT56"")"),0)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162140</v>
      </c>
      <c r="M118" s="152">
        <f t="shared" ca="1" si="58"/>
        <v>162140</v>
      </c>
      <c r="N118" s="152">
        <f t="shared" ca="1" si="58"/>
        <v>149479</v>
      </c>
      <c r="O118" s="151">
        <f t="shared" ref="O118:O120" ca="1" si="59">IF(L118&gt;0,N118*100/L118,0)</f>
        <v>92.191316146540032</v>
      </c>
      <c r="P118" s="151">
        <f t="shared" ref="P118:P120" ca="1" si="60">IF(M118&gt;0,N118*100/M118,0)</f>
        <v>92.191316146540032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162140</v>
      </c>
      <c r="M120" s="157">
        <f t="shared" ca="1" si="62"/>
        <v>162140</v>
      </c>
      <c r="N120" s="157">
        <f t="shared" ca="1" si="62"/>
        <v>149479</v>
      </c>
      <c r="O120" s="156">
        <f t="shared" ca="1" si="59"/>
        <v>92.191316146540032</v>
      </c>
      <c r="P120" s="156">
        <f t="shared" ca="1" si="60"/>
        <v>92.191316146540032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162140</v>
      </c>
      <c r="M122" s="627">
        <f ca="1">IFERROR(__xludf.DUMMYFUNCTION("IMPORTRANGE(""https://docs.google.com/spreadsheets/d/1Yj_ptqi66GCucihVvJfMjLAmec39IyEx_6qawtMGysU/edit?usp=sharing"",""สบก!BA56"")"),162140)</f>
        <v>162140</v>
      </c>
      <c r="N122" s="628">
        <f ca="1">IFERROR(__xludf.DUMMYFUNCTION("IMPORTRANGE(""https://docs.google.com/spreadsheets/d/1Yj_ptqi66GCucihVvJfMjLAmec39IyEx_6qawtMGysU/edit?usp=sharing"",""สบก!BB56"")"),149479)</f>
        <v>149479</v>
      </c>
      <c r="O122" s="169">
        <f ca="1">IF(L122&gt;0,N122*100/L122,0)</f>
        <v>92.191316146540032</v>
      </c>
      <c r="P122" s="169">
        <f ca="1">IF(M122&gt;0,N122*100/M122,0)</f>
        <v>92.191316146540032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IFERROR(__xludf.DUMMYFUNCTION("IMPORTRANGE(""https://docs.google.com/spreadsheets/d/1Yj_ptqi66GCucihVvJfMjLAmec39IyEx_6qawtMGysU/edit?usp=sharing"",""สบก!AX56"")"),162140)</f>
        <v>162140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IFERROR(__xludf.DUMMYFUNCTION("IMPORTRANGE(""https://docs.google.com/spreadsheets/d/1Yj_ptqi66GCucihVvJfMjLAmec39IyEx_6qawtMGysU/edit?usp=sharing"",""สบก!AY56"")"),0)</f>
        <v>0</v>
      </c>
      <c r="M126" s="626"/>
      <c r="N126" s="623">
        <f ca="1">IFERROR(__xludf.DUMMYFUNCTION("IMPORTRANGE(""https://docs.google.com/spreadsheets/d/1Yj_ptqi66GCucihVvJfMjLAmec39IyEx_6qawtMGysU/edit?usp=sharing"",""สบก!BC56"")"),0)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110000</v>
      </c>
      <c r="M140" s="152">
        <f t="shared" ca="1" si="64"/>
        <v>110000</v>
      </c>
      <c r="N140" s="152">
        <f t="shared" ca="1" si="64"/>
        <v>105160</v>
      </c>
      <c r="O140" s="151">
        <f t="shared" ref="O140:O142" ca="1" si="65">IF(L140&gt;0,N140*100/L140,0)</f>
        <v>95.6</v>
      </c>
      <c r="P140" s="151">
        <f t="shared" ref="P140:P142" ca="1" si="66">IF(M140&gt;0,N140*100/M140,0)</f>
        <v>95.6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110000</v>
      </c>
      <c r="M142" s="157">
        <f t="shared" ca="1" si="68"/>
        <v>110000</v>
      </c>
      <c r="N142" s="157">
        <f t="shared" ca="1" si="68"/>
        <v>105160</v>
      </c>
      <c r="O142" s="156">
        <f t="shared" ca="1" si="65"/>
        <v>95.6</v>
      </c>
      <c r="P142" s="156">
        <f t="shared" ca="1" si="66"/>
        <v>95.6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110000</v>
      </c>
      <c r="M144" s="627">
        <f ca="1">IFERROR(__xludf.DUMMYFUNCTION("IMPORTRANGE(""https://docs.google.com/spreadsheets/d/1Yj_ptqi66GCucihVvJfMjLAmec39IyEx_6qawtMGysU/edit?usp=sharing"",""สบก!BJ56"")"),110000)</f>
        <v>110000</v>
      </c>
      <c r="N144" s="628">
        <f ca="1">IFERROR(__xludf.DUMMYFUNCTION("IMPORTRANGE(""https://docs.google.com/spreadsheets/d/1Yj_ptqi66GCucihVvJfMjLAmec39IyEx_6qawtMGysU/edit?usp=sharing"",""สบก!BK56"")"),105160)</f>
        <v>105160</v>
      </c>
      <c r="O144" s="169">
        <f ca="1">IF(L144&gt;0,N144*100/L144,0)</f>
        <v>95.6</v>
      </c>
      <c r="P144" s="169">
        <f ca="1">IF(M144&gt;0,N144*100/M144,0)</f>
        <v>95.6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IFERROR(__xludf.DUMMYFUNCTION("IMPORTRANGE(""https://docs.google.com/spreadsheets/d/1Yj_ptqi66GCucihVvJfMjLAmec39IyEx_6qawtMGysU/edit?usp=sharing"",""สบก!BG56"")"),110000)</f>
        <v>110000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IFERROR(__xludf.DUMMYFUNCTION("IMPORTRANGE(""https://docs.google.com/spreadsheets/d/1Yj_ptqi66GCucihVvJfMjLAmec39IyEx_6qawtMGysU/edit?usp=sharing"",""สบก!BH56"")"),0)</f>
        <v>0</v>
      </c>
      <c r="M148" s="626"/>
      <c r="N148" s="623">
        <f ca="1">IFERROR(__xludf.DUMMYFUNCTION("IMPORTRANGE(""https://docs.google.com/spreadsheets/d/1Yj_ptqi66GCucihVvJfMjLAmec39IyEx_6qawtMGysU/edit?usp=sharing"",""สบก!BL56"")"),0)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IFERROR(__xludf.DUMMYFUNCTION("IMPORTRANGE(""https://docs.google.com/spreadsheets/d/1XL5vhW3sbDhbH9Cz0tuDiY8C3ctxq1tqvaCgkFb8cCA/edit?usp=sharing"",""อุดรธานี!J85"")"),0)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IFERROR(__xludf.DUMMYFUNCTION("IMPORTRANGE(""https://docs.google.com/spreadsheets/d/1XL5vhW3sbDhbH9Cz0tuDiY8C3ctxq1tqvaCgkFb8cCA/edit?usp=sharing"",""อุดรธานี!J86"")"),0)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IFERROR(__xludf.DUMMYFUNCTION("IMPORTRANGE(""https://docs.google.com/spreadsheets/d/1XL5vhW3sbDhbH9Cz0tuDiY8C3ctxq1tqvaCgkFb8cCA/edit?usp=sharing"",""อุดรธานี!J88"")"),0)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IFERROR(__xludf.DUMMYFUNCTION("IMPORTRANGE(""https://docs.google.com/spreadsheets/d/1XL5vhW3sbDhbH9Cz0tuDiY8C3ctxq1tqvaCgkFb8cCA/edit?usp=sharing"",""อุดรธานี!I89"")"),3)</f>
        <v>3</v>
      </c>
      <c r="J164" s="285">
        <f ca="1">IFERROR(__xludf.DUMMYFUNCTION("IMPORTRANGE(""https://docs.google.com/spreadsheets/d/1XL5vhW3sbDhbH9Cz0tuDiY8C3ctxq1tqvaCgkFb8cCA/edit?usp=sharing"",""อุดรธานี!J89"")"),3)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IFERROR(__xludf.DUMMYFUNCTION("IMPORTRANGE(""https://docs.google.com/spreadsheets/d/1XL5vhW3sbDhbH9Cz0tuDiY8C3ctxq1tqvaCgkFb8cCA/edit?usp=sharing"",""อุดรธานี!I101"")"),3)</f>
        <v>3</v>
      </c>
      <c r="J176" s="285">
        <f ca="1">IFERROR(__xludf.DUMMYFUNCTION("IMPORTRANGE(""https://docs.google.com/spreadsheets/d/1XL5vhW3sbDhbH9Cz0tuDiY8C3ctxq1tqvaCgkFb8cCA/edit?usp=sharing"",""อุดรธานี!J101"")"),3)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IFERROR(__xludf.DUMMYFUNCTION("IMPORTRANGE(""https://docs.google.com/spreadsheets/d/1XL5vhW3sbDhbH9Cz0tuDiY8C3ctxq1tqvaCgkFb8cCA/edit?usp=sharing"",""อุดรธานี!J113"")"),1)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IFERROR(__xludf.DUMMYFUNCTION("IMPORTRANGE(""https://docs.google.com/spreadsheets/d/1XL5vhW3sbDhbH9Cz0tuDiY8C3ctxq1tqvaCgkFb8cCA/edit?usp=sharing"",""อุดรธานี!I114"")"),10000)</f>
        <v>10000</v>
      </c>
      <c r="J189" s="285">
        <f ca="1">IFERROR(__xludf.DUMMYFUNCTION("IMPORTRANGE(""https://docs.google.com/spreadsheets/d/1XL5vhW3sbDhbH9Cz0tuDiY8C3ctxq1tqvaCgkFb8cCA/edit?usp=sharing"",""อุดรธานี!J114"")"),10000)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IFERROR(__xludf.DUMMYFUNCTION("IMPORTRANGE(""https://docs.google.com/spreadsheets/d/1XL5vhW3sbDhbH9Cz0tuDiY8C3ctxq1tqvaCgkFb8cCA/edit?usp=sharing"",""อุดรธานี!J128"")"),1)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IFERROR(__xludf.DUMMYFUNCTION("IMPORTRANGE(""https://docs.google.com/spreadsheets/d/1XL5vhW3sbDhbH9Cz0tuDiY8C3ctxq1tqvaCgkFb8cCA/edit?usp=sharing"",""อุดรธานี!I129"")"),0)</f>
        <v>0</v>
      </c>
      <c r="J204" s="285">
        <f ca="1">IFERROR(__xludf.DUMMYFUNCTION("IMPORTRANGE(""https://docs.google.com/spreadsheets/d/1XL5vhW3sbDhbH9Cz0tuDiY8C3ctxq1tqvaCgkFb8cCA/edit?usp=sharing"",""อุดรธานี!J129"")"),0)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IFERROR(__xludf.DUMMYFUNCTION("IMPORTRANGE(""https://docs.google.com/spreadsheets/d/1Yj_ptqi66GCucihVvJfMjLAmec39IyEx_6qawtMGysU/edit?usp=sharing"",""สบก!BS56"")"),20210)</f>
        <v>20210</v>
      </c>
      <c r="N224" s="628">
        <f ca="1">IFERROR(__xludf.DUMMYFUNCTION("IMPORTRANGE(""https://docs.google.com/spreadsheets/d/1Yj_ptqi66GCucihVvJfMjLAmec39IyEx_6qawtMGysU/edit?usp=sharing"",""สบก!BT56"")"),20210)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IFERROR(__xludf.DUMMYFUNCTION("IMPORTRANGE(""https://docs.google.com/spreadsheets/d/1Yj_ptqi66GCucihVvJfMjLAmec39IyEx_6qawtMGysU/edit?usp=sharing"",""สบก!BQ56"")"),0)</f>
        <v>0</v>
      </c>
      <c r="M228" s="626"/>
      <c r="N228" s="623">
        <f ca="1">IFERROR(__xludf.DUMMYFUNCTION("IMPORTRANGE(""https://docs.google.com/spreadsheets/d/1Yj_ptqi66GCucihVvJfMjLAmec39IyEx_6qawtMGysU/edit?usp=sharing"",""สบก!BU56"")"),0)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IFERROR(__xludf.DUMMYFUNCTION("IMPORTRANGE(""https://docs.google.com/spreadsheets/d/1XL5vhW3sbDhbH9Cz0tuDiY8C3ctxq1tqvaCgkFb8cCA/edit?usp=sharing"",""อุดรธานี!I169"")"),20)</f>
        <v>20</v>
      </c>
      <c r="J249" s="317">
        <f ca="1">IFERROR(__xludf.DUMMYFUNCTION("IMPORTRANGE(""https://docs.google.com/spreadsheets/d/1XL5vhW3sbDhbH9Cz0tuDiY8C3ctxq1tqvaCgkFb8cCA/edit?usp=sharing"",""อุดรธานี!J169"")"),20)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69177</v>
      </c>
      <c r="O250" s="151">
        <f t="shared" ref="O250:O252" ca="1" si="78">IF(L250&gt;0,N250*100/L250,0)</f>
        <v>96.886554621848745</v>
      </c>
      <c r="P250" s="151">
        <f t="shared" ref="P250:P252" ca="1" si="79">IF(M250&gt;0,N250*100/M250,0)</f>
        <v>96.886554621848745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69177</v>
      </c>
      <c r="O252" s="156">
        <f t="shared" ca="1" si="78"/>
        <v>96.886554621848745</v>
      </c>
      <c r="P252" s="156">
        <f t="shared" ca="1" si="79"/>
        <v>96.886554621848745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7">
        <f ca="1">IFERROR(__xludf.DUMMYFUNCTION("IMPORTRANGE(""https://docs.google.com/spreadsheets/d/1Yj_ptqi66GCucihVvJfMjLAmec39IyEx_6qawtMGysU/edit?usp=sharing"",""สบก!CB56"")"),71400)</f>
        <v>71400</v>
      </c>
      <c r="N254" s="628">
        <f ca="1">IFERROR(__xludf.DUMMYFUNCTION("IMPORTRANGE(""https://docs.google.com/spreadsheets/d/1Yj_ptqi66GCucihVvJfMjLAmec39IyEx_6qawtMGysU/edit?usp=sharing"",""สบก!CC56"")"),69177)</f>
        <v>69177</v>
      </c>
      <c r="O254" s="169">
        <f ca="1">IF(L254&gt;0,N254*100/L254,0)</f>
        <v>96.886554621848745</v>
      </c>
      <c r="P254" s="169">
        <f ca="1">IF(M254&gt;0,N254*100/M254,0)</f>
        <v>96.886554621848745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IFERROR(__xludf.DUMMYFUNCTION("IMPORTRANGE(""https://docs.google.com/spreadsheets/d/1Yj_ptqi66GCucihVvJfMjLAmec39IyEx_6qawtMGysU/edit?usp=sharing"",""สบก!BZ56"")"),0)</f>
        <v>0</v>
      </c>
      <c r="M258" s="626"/>
      <c r="N258" s="623">
        <f ca="1">IFERROR(__xludf.DUMMYFUNCTION("IMPORTRANGE(""https://docs.google.com/spreadsheets/d/1Yj_ptqi66GCucihVvJfMjLAmec39IyEx_6qawtMGysU/edit?usp=sharing"",""สบก!CD56"")"),0)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IFERROR(__xludf.DUMMYFUNCTION("IMPORTRANGE(""https://docs.google.com/spreadsheets/d/1XL5vhW3sbDhbH9Cz0tuDiY8C3ctxq1tqvaCgkFb8cCA/edit?usp=sharing"",""อุดรธานี!J184"")"),0)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IFERROR(__xludf.DUMMYFUNCTION("IMPORTRANGE(""https://docs.google.com/spreadsheets/d/1XL5vhW3sbDhbH9Cz0tuDiY8C3ctxq1tqvaCgkFb8cCA/edit?usp=sharing"",""อุดรธานี!I185"")"),20)</f>
        <v>20</v>
      </c>
      <c r="J270" s="317">
        <f ca="1">IFERROR(__xludf.DUMMYFUNCTION("IMPORTRANGE(""https://docs.google.com/spreadsheets/d/1XL5vhW3sbDhbH9Cz0tuDiY8C3ctxq1tqvaCgkFb8cCA/edit?usp=sharing"",""อุดรธานี!J185"")"),20)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194220</v>
      </c>
      <c r="N271" s="152">
        <f t="shared" ca="1" si="83"/>
        <v>171910.16</v>
      </c>
      <c r="O271" s="151">
        <f t="shared" ref="O271:O273" ca="1" si="84">IF(L271&gt;0,N271*100/L271,0)</f>
        <v>93.632984749455332</v>
      </c>
      <c r="P271" s="151">
        <f t="shared" ref="P271:P273" ca="1" si="85">IF(M271&gt;0,N271*100/M271,0)</f>
        <v>88.513108845638968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194220</v>
      </c>
      <c r="N273" s="157">
        <f t="shared" ca="1" si="87"/>
        <v>171910.16</v>
      </c>
      <c r="O273" s="156">
        <f t="shared" ca="1" si="84"/>
        <v>93.632984749455332</v>
      </c>
      <c r="P273" s="156">
        <f t="shared" ca="1" si="85"/>
        <v>88.513108845638968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IFERROR(__xludf.DUMMYFUNCTION("IMPORTRANGE(""https://docs.google.com/spreadsheets/d/1Yj_ptqi66GCucihVvJfMjLAmec39IyEx_6qawtMGysU/edit?usp=sharing"",""สบก!CK56"")"),194220)</f>
        <v>194220</v>
      </c>
      <c r="N275" s="628">
        <f ca="1">IFERROR(__xludf.DUMMYFUNCTION("IMPORTRANGE(""https://docs.google.com/spreadsheets/d/1Yj_ptqi66GCucihVvJfMjLAmec39IyEx_6qawtMGysU/edit?usp=sharing"",""สบก!CL56"")"),171910.16)</f>
        <v>171910.16</v>
      </c>
      <c r="O275" s="169">
        <f ca="1">IF(L275&gt;0,N275*100/L275,0)</f>
        <v>93.632984749455332</v>
      </c>
      <c r="P275" s="169">
        <f ca="1">IF(M275&gt;0,N275*100/M275,0)</f>
        <v>88.513108845638968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IFERROR(__xludf.DUMMYFUNCTION("IMPORTRANGE(""https://docs.google.com/spreadsheets/d/1Yj_ptqi66GCucihVvJfMjLAmec39IyEx_6qawtMGysU/edit?usp=sharing"",""สบก!CH56"")"),183600)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IFERROR(__xludf.DUMMYFUNCTION("IMPORTRANGE(""https://docs.google.com/spreadsheets/d/1Yj_ptqi66GCucihVvJfMjLAmec39IyEx_6qawtMGysU/edit?usp=sharing"",""สบก!CI56"")"),0)</f>
        <v>0</v>
      </c>
      <c r="M279" s="626"/>
      <c r="N279" s="623">
        <f ca="1">IFERROR(__xludf.DUMMYFUNCTION("IMPORTRANGE(""https://docs.google.com/spreadsheets/d/1Yj_ptqi66GCucihVvJfMjLAmec39IyEx_6qawtMGysU/edit?usp=sharing"",""สบก!CM56"")"),0)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IFERROR(__xludf.DUMMYFUNCTION("IMPORTRANGE(""https://docs.google.com/spreadsheets/d/1XL5vhW3sbDhbH9Cz0tuDiY8C3ctxq1tqvaCgkFb8cCA/edit?usp=sharing"",""อุดรธานี!I199"")"),0)</f>
        <v>0</v>
      </c>
      <c r="J289" s="317">
        <f ca="1">IFERROR(__xludf.DUMMYFUNCTION("IMPORTRANGE(""https://docs.google.com/spreadsheets/d/1XL5vhW3sbDhbH9Cz0tuDiY8C3ctxq1tqvaCgkFb8cCA/edit?usp=sharing"",""อุดรธานี!J199"")"),0)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IFERROR(__xludf.DUMMYFUNCTION("IMPORTRANGE(""https://docs.google.com/spreadsheets/d/1Yj_ptqi66GCucihVvJfMjLAmec39IyEx_6qawtMGysU/edit?usp=sharing"",""สบก!CT56"")"),0)</f>
        <v>0</v>
      </c>
      <c r="N294" s="628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IFERROR(__xludf.DUMMYFUNCTION("IMPORTRANGE(""https://docs.google.com/spreadsheets/d/1Yj_ptqi66GCucihVvJfMjLAmec39IyEx_6qawtMGysU/edit?usp=sharing"",""สบก!CR56"")"),0)</f>
        <v>0</v>
      </c>
      <c r="M298" s="626"/>
      <c r="N298" s="623">
        <f ca="1">IFERROR(__xludf.DUMMYFUNCTION("IMPORTRANGE(""https://docs.google.com/spreadsheets/d/1Yj_ptqi66GCucihVvJfMjLAmec39IyEx_6qawtMGysU/edit?usp=sharing"",""สบก!CV56"")"),0)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IFERROR(__xludf.DUMMYFUNCTION("IMPORTRANGE(""https://docs.google.com/spreadsheets/d/1XL5vhW3sbDhbH9Cz0tuDiY8C3ctxq1tqvaCgkFb8cCA/edit?usp=sharing"",""อุดรธานี!I214"")"),0)</f>
        <v>0</v>
      </c>
      <c r="J309" s="334">
        <f ca="1">IFERROR(__xludf.DUMMYFUNCTION("IMPORTRANGE(""https://docs.google.com/spreadsheets/d/1XL5vhW3sbDhbH9Cz0tuDiY8C3ctxq1tqvaCgkFb8cCA/edit?usp=sharing"",""อุดรธานี!J214"")"),0)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IFERROR(__xludf.DUMMYFUNCTION("IMPORTRANGE(""https://docs.google.com/spreadsheets/d/1Yj_ptqi66GCucihVvJfMjLAmec39IyEx_6qawtMGysU/edit?usp=sharing"",""สบก!DC56"")"),0)</f>
        <v>0</v>
      </c>
      <c r="N314" s="628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IFERROR(__xludf.DUMMYFUNCTION("IMPORTRANGE(""https://docs.google.com/spreadsheets/d/1Yj_ptqi66GCucihVvJfMjLAmec39IyEx_6qawtMGysU/edit?usp=sharing"",""สบก!DA56"")"),0)</f>
        <v>0</v>
      </c>
      <c r="M318" s="626"/>
      <c r="N318" s="623">
        <f ca="1">IFERROR(__xludf.DUMMYFUNCTION("IMPORTRANGE(""https://docs.google.com/spreadsheets/d/1Yj_ptqi66GCucihVvJfMjLAmec39IyEx_6qawtMGysU/edit?usp=sharing"",""สบก!DE56"")"),0)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IFERROR(__xludf.DUMMYFUNCTION("IMPORTRANGE(""https://docs.google.com/spreadsheets/d/1XL5vhW3sbDhbH9Cz0tuDiY8C3ctxq1tqvaCgkFb8cCA/edit?usp=sharing"",""อุดรธานี!I228"")"),1760)</f>
        <v>1760</v>
      </c>
      <c r="J328" s="340">
        <f ca="1">IFERROR(__xludf.DUMMYFUNCTION("IMPORTRANGE(""https://docs.google.com/spreadsheets/d/1XL5vhW3sbDhbH9Cz0tuDiY8C3ctxq1tqvaCgkFb8cCA/edit?usp=sharing"",""อุดรธานี!J228"")"),1198)</f>
        <v>1198</v>
      </c>
      <c r="K328" s="318">
        <f ca="1">IF(I328&gt;0,J328*100/I328,0)</f>
        <v>68.068181818181813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2214980</v>
      </c>
      <c r="M329" s="152">
        <f t="shared" ca="1" si="98"/>
        <v>2361980</v>
      </c>
      <c r="N329" s="152">
        <f t="shared" ca="1" si="98"/>
        <v>2124361.1100000003</v>
      </c>
      <c r="O329" s="151">
        <f t="shared" ref="O329:O331" ca="1" si="99">IF(L329&gt;0,N329*100/L329,0)</f>
        <v>95.908816783898743</v>
      </c>
      <c r="P329" s="151">
        <f t="shared" ref="P329:P331" ca="1" si="100">IF(M329&gt;0,N329*100/M329,0)</f>
        <v>89.939843267089486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2214980</v>
      </c>
      <c r="M331" s="157">
        <f t="shared" ca="1" si="102"/>
        <v>2361980</v>
      </c>
      <c r="N331" s="157">
        <f t="shared" ca="1" si="102"/>
        <v>2124361.1100000003</v>
      </c>
      <c r="O331" s="156">
        <f t="shared" ca="1" si="99"/>
        <v>95.908816783898743</v>
      </c>
      <c r="P331" s="156">
        <f t="shared" ca="1" si="100"/>
        <v>89.939843267089486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2067980</v>
      </c>
      <c r="M333" s="627">
        <f ca="1">IFERROR(__xludf.DUMMYFUNCTION("IMPORTRANGE(""https://docs.google.com/spreadsheets/d/1Yj_ptqi66GCucihVvJfMjLAmec39IyEx_6qawtMGysU/edit?usp=sharing"",""สบก!DL56"")"),2214980)</f>
        <v>2214980</v>
      </c>
      <c r="N333" s="628">
        <f ca="1">IFERROR(__xludf.DUMMYFUNCTION("IMPORTRANGE(""https://docs.google.com/spreadsheets/d/1Yj_ptqi66GCucihVvJfMjLAmec39IyEx_6qawtMGysU/edit?usp=sharing"",""สบก!DM56"")"),1985361.11)</f>
        <v>1985361.11</v>
      </c>
      <c r="O333" s="169">
        <f ca="1">IF(L333&gt;0,N333*100/L333,0)</f>
        <v>96.00485062718208</v>
      </c>
      <c r="P333" s="169">
        <f ca="1">IF(M333&gt;0,N333*100/M333,0)</f>
        <v>89.633365086817946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IFERROR(__xludf.DUMMYFUNCTION("IMPORTRANGE(""https://docs.google.com/spreadsheets/d/1Yj_ptqi66GCucihVvJfMjLAmec39IyEx_6qawtMGysU/edit?usp=sharing"",""สบก!DI56"")"),1761980)</f>
        <v>1761980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IFERROR(__xludf.DUMMYFUNCTION("IMPORTRANGE(""https://docs.google.com/spreadsheets/d/1Yj_ptqi66GCucihVvJfMjLAmec39IyEx_6qawtMGysU/edit?usp=sharing"",""สบก!DJ56"")"),147000)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IFERROR(__xludf.DUMMYFUNCTION("IMPORTRANGE(""https://docs.google.com/spreadsheets/d/1Yj_ptqi66GCucihVvJfMjLAmec39IyEx_6qawtMGysU/edit?usp=sharing"",""สบก!DN56"")"),139000)</f>
        <v>139000</v>
      </c>
      <c r="O337" s="626">
        <f ca="1">IF(L337&gt;0,N337*100/L337,0)</f>
        <v>94.557823129251702</v>
      </c>
      <c r="P337" s="626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IFERROR(__xludf.DUMMYFUNCTION("IMPORTRANGE(""https://docs.google.com/spreadsheets/d/1XL5vhW3sbDhbH9Cz0tuDiY8C3ctxq1tqvaCgkFb8cCA/edit?usp=sharing"",""อุดรธานี!J234"")"),1294)</f>
        <v>1294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IFERROR(__xludf.DUMMYFUNCTION("IMPORTRANGE(""https://docs.google.com/spreadsheets/d/1XL5vhW3sbDhbH9Cz0tuDiY8C3ctxq1tqvaCgkFb8cCA/edit?usp=sharing"",""อุดรธานี!J235"")"),13301.36)</f>
        <v>13301.36</v>
      </c>
      <c r="K340" s="343">
        <f t="shared" ca="1" si="103"/>
        <v>106.41088000000001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IFERROR(__xludf.DUMMYFUNCTION("IMPORTRANGE(""https://docs.google.com/spreadsheets/d/1XL5vhW3sbDhbH9Cz0tuDiY8C3ctxq1tqvaCgkFb8cCA/edit?usp=sharing"",""อุดรธานี!J236"")"),2156)</f>
        <v>2156</v>
      </c>
      <c r="K341" s="343">
        <f t="shared" ca="1" si="103"/>
        <v>122.5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IFERROR(__xludf.DUMMYFUNCTION("IMPORTRANGE(""https://docs.google.com/spreadsheets/d/1XL5vhW3sbDhbH9Cz0tuDiY8C3ctxq1tqvaCgkFb8cCA/edit?usp=sharing"",""อุดรธานี!J237"")"),33106.88)</f>
        <v>33106.879999999997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IFERROR(__xludf.DUMMYFUNCTION("IMPORTRANGE(""https://docs.google.com/spreadsheets/d/1XL5vhW3sbDhbH9Cz0tuDiY8C3ctxq1tqvaCgkFb8cCA/edit?usp=sharing"",""อุดรธานี!J238"")"),769)</f>
        <v>769</v>
      </c>
      <c r="K343" s="343">
        <f t="shared" ca="1" si="103"/>
        <v>43.69318181818182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IFERROR(__xludf.DUMMYFUNCTION("IMPORTRANGE(""https://docs.google.com/spreadsheets/d/1XL5vhW3sbDhbH9Cz0tuDiY8C3ctxq1tqvaCgkFb8cCA/edit?usp=sharing"",""อุดรธานี!J239"")"),8234.03)</f>
        <v>8234.0300000000007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IFERROR(__xludf.DUMMYFUNCTION("IMPORTRANGE(""https://docs.google.com/spreadsheets/d/1XL5vhW3sbDhbH9Cz0tuDiY8C3ctxq1tqvaCgkFb8cCA/edit?usp=sharing"",""อุดรธานี!J240"")"),1198)</f>
        <v>1198</v>
      </c>
      <c r="K345" s="343">
        <f t="shared" ca="1" si="103"/>
        <v>68.068181818181813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IFERROR(__xludf.DUMMYFUNCTION("IMPORTRANGE(""https://docs.google.com/spreadsheets/d/1XL5vhW3sbDhbH9Cz0tuDiY8C3ctxq1tqvaCgkFb8cCA/edit?usp=sharing"",""อุดรธานี!J241"")"),14788.14)</f>
        <v>14788.14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IFERROR(__xludf.DUMMYFUNCTION("IMPORTRANGE(""https://docs.google.com/spreadsheets/d/1XL5vhW3sbDhbH9Cz0tuDiY8C3ctxq1tqvaCgkFb8cCA/edit?usp=sharing"",""อุดรธานี!L242"")"),3549691)</f>
        <v>3549691</v>
      </c>
      <c r="M347" s="358"/>
      <c r="N347" s="358">
        <f ca="1">IFERROR(__xludf.DUMMYFUNCTION("IMPORTRANGE(""https://docs.google.com/spreadsheets/d/1XL5vhW3sbDhbH9Cz0tuDiY8C3ctxq1tqvaCgkFb8cCA/edit?usp=sharing"",""อุดรธานี!M242"")"),2990590.3)</f>
        <v>2990590.3</v>
      </c>
      <c r="O347" s="358">
        <f ca="1">+IF(L347&gt;0,N347*100/L347,0)</f>
        <v>84.249313531797554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IFERROR(__xludf.DUMMYFUNCTION("IMPORTRANGE(""https://docs.google.com/spreadsheets/d/1XL5vhW3sbDhbH9Cz0tuDiY8C3ctxq1tqvaCgkFb8cCA/edit?usp=sharing"",""อุดรธานี!J244"")"),662)</f>
        <v>662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IFERROR(__xludf.DUMMYFUNCTION("IMPORTRANGE(""https://docs.google.com/spreadsheets/d/1XL5vhW3sbDhbH9Cz0tuDiY8C3ctxq1tqvaCgkFb8cCA/edit?usp=sharing"",""อุดรธานี!M244"")"),844427.7)</f>
        <v>844427.7</v>
      </c>
      <c r="O349" s="373">
        <f ca="1">+IF(L349&gt;0,N349*100/L349,0)</f>
        <v>83.839128276409852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IFERROR(__xludf.DUMMYFUNCTION("IMPORTRANGE(""https://docs.google.com/spreadsheets/d/1XL5vhW3sbDhbH9Cz0tuDiY8C3ctxq1tqvaCgkFb8cCA/edit?usp=sharing"",""อุดรธานี!L247"")"),1007200)</f>
        <v>1007200</v>
      </c>
      <c r="M352" s="165"/>
      <c r="N352" s="164">
        <f ca="1">IFERROR(__xludf.DUMMYFUNCTION("IMPORTRANGE(""https://docs.google.com/spreadsheets/d/1XL5vhW3sbDhbH9Cz0tuDiY8C3ctxq1tqvaCgkFb8cCA/edit?usp=sharing"",""อุดรธานี!M247"")"),844427.7)</f>
        <v>844427.7</v>
      </c>
      <c r="O352" s="165">
        <f t="shared" ca="1" si="105"/>
        <v>83.839128276409852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IFERROR(__xludf.DUMMYFUNCTION("IMPORTRANGE(""https://docs.google.com/spreadsheets/d/1XL5vhW3sbDhbH9Cz0tuDiY8C3ctxq1tqvaCgkFb8cCA/edit?usp=sharing"",""อุดรธานี!L249"")"),1007200)</f>
        <v>1007200</v>
      </c>
      <c r="M354" s="169"/>
      <c r="N354" s="168">
        <f ca="1">IFERROR(__xludf.DUMMYFUNCTION("IMPORTRANGE(""https://docs.google.com/spreadsheets/d/1XL5vhW3sbDhbH9Cz0tuDiY8C3ctxq1tqvaCgkFb8cCA/edit?usp=sharing"",""อุดรธานี!M249"")"),844427.7)</f>
        <v>844427.7</v>
      </c>
      <c r="O354" s="169">
        <f t="shared" ca="1" si="105"/>
        <v>83.839128276409852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IFERROR(__xludf.DUMMYFUNCTION("IMPORTRANGE(""https://docs.google.com/spreadsheets/d/1XL5vhW3sbDhbH9Cz0tuDiY8C3ctxq1tqvaCgkFb8cCA/edit?usp=sharing"",""อุดรธานี!M250"")"),177670)</f>
        <v>177670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IFERROR(__xludf.DUMMYFUNCTION("IMPORTRANGE(""https://docs.google.com/spreadsheets/d/1XL5vhW3sbDhbH9Cz0tuDiY8C3ctxq1tqvaCgkFb8cCA/edit?usp=sharing"",""อุดรธานี!M251"")"),502999)</f>
        <v>502999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IFERROR(__xludf.DUMMYFUNCTION("IMPORTRANGE(""https://docs.google.com/spreadsheets/d/1XL5vhW3sbDhbH9Cz0tuDiY8C3ctxq1tqvaCgkFb8cCA/edit?usp=sharing"",""อุดรธานี!M252"")"),118838.7)</f>
        <v>118838.7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IFERROR(__xludf.DUMMYFUNCTION("IMPORTRANGE(""https://docs.google.com/spreadsheets/d/1XL5vhW3sbDhbH9Cz0tuDiY8C3ctxq1tqvaCgkFb8cCA/edit?usp=sharing"",""อุดรธานี!M253"")"),44920)</f>
        <v>44920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IFERROR(__xludf.DUMMYFUNCTION("IMPORTRANGE(""https://docs.google.com/spreadsheets/d/1XL5vhW3sbDhbH9Cz0tuDiY8C3ctxq1tqvaCgkFb8cCA/edit?usp=sharing"",""อุดรธานี!J270"")"),662)</f>
        <v>662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IFERROR(__xludf.DUMMYFUNCTION("IMPORTRANGE(""https://docs.google.com/spreadsheets/d/1XL5vhW3sbDhbH9Cz0tuDiY8C3ctxq1tqvaCgkFb8cCA/edit?usp=sharing"",""อุดรธานี!J271"")"),500)</f>
        <v>500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IFERROR(__xludf.DUMMYFUNCTION("IMPORTRANGE(""https://docs.google.com/spreadsheets/d/1XL5vhW3sbDhbH9Cz0tuDiY8C3ctxq1tqvaCgkFb8cCA/edit?usp=sharing"",""อุดรธานี!J272"")"),162)</f>
        <v>162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IFERROR(__xludf.DUMMYFUNCTION("IMPORTRANGE(""https://docs.google.com/spreadsheets/d/1XL5vhW3sbDhbH9Cz0tuDiY8C3ctxq1tqvaCgkFb8cCA/edit?usp=sharing"",""อุดรธานี!M275"")"),928059.9)</f>
        <v>928059.9</v>
      </c>
      <c r="O380" s="373">
        <f ca="1">+IF(L380&gt;0,N380*100/L380,0)</f>
        <v>90.232557461206397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IFERROR(__xludf.DUMMYFUNCTION("IMPORTRANGE(""https://docs.google.com/spreadsheets/d/1XL5vhW3sbDhbH9Cz0tuDiY8C3ctxq1tqvaCgkFb8cCA/edit?usp=sharing"",""อุดรธานี!M278"")"),928059.9)</f>
        <v>928059.9</v>
      </c>
      <c r="O383" s="165">
        <f t="shared" ca="1" si="109"/>
        <v>90.232557461206397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IFERROR(__xludf.DUMMYFUNCTION("IMPORTRANGE(""https://docs.google.com/spreadsheets/d/1XL5vhW3sbDhbH9Cz0tuDiY8C3ctxq1tqvaCgkFb8cCA/edit?usp=sharing"",""อุดรธานี!M280"")"),928059.9)</f>
        <v>928059.9</v>
      </c>
      <c r="O385" s="169">
        <f t="shared" ca="1" si="109"/>
        <v>90.232557461206397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IFERROR(__xludf.DUMMYFUNCTION("IMPORTRANGE(""https://docs.google.com/spreadsheets/d/1XL5vhW3sbDhbH9Cz0tuDiY8C3ctxq1tqvaCgkFb8cCA/edit?usp=sharing"",""อุดรธานี!M281"")"),163327)</f>
        <v>163327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IFERROR(__xludf.DUMMYFUNCTION("IMPORTRANGE(""https://docs.google.com/spreadsheets/d/1XL5vhW3sbDhbH9Cz0tuDiY8C3ctxq1tqvaCgkFb8cCA/edit?usp=sharing"",""อุดรธานี!M282"")"),624012)</f>
        <v>624012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IFERROR(__xludf.DUMMYFUNCTION("IMPORTRANGE(""https://docs.google.com/spreadsheets/d/1XL5vhW3sbDhbH9Cz0tuDiY8C3ctxq1tqvaCgkFb8cCA/edit?usp=sharing"",""อุดรธานี!M283"")"),107756.9)</f>
        <v>107756.9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IFERROR(__xludf.DUMMYFUNCTION("IMPORTRANGE(""https://docs.google.com/spreadsheets/d/1XL5vhW3sbDhbH9Cz0tuDiY8C3ctxq1tqvaCgkFb8cCA/edit?usp=sharing"",""อุดรธานี!M284"")"),32964)</f>
        <v>32964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IFERROR(__xludf.DUMMYFUNCTION("IMPORTRANGE(""https://docs.google.com/spreadsheets/d/1XL5vhW3sbDhbH9Cz0tuDiY8C3ctxq1tqvaCgkFb8cCA/edit?usp=sharing"",""อุดรธานี!M296"")"),173656)</f>
        <v>173656</v>
      </c>
      <c r="O401" s="373">
        <f ca="1">+IF(L401&gt;0,N401*100/L401,0)</f>
        <v>88.645227156712608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IFERROR(__xludf.DUMMYFUNCTION("IMPORTRANGE(""https://docs.google.com/spreadsheets/d/1XL5vhW3sbDhbH9Cz0tuDiY8C3ctxq1tqvaCgkFb8cCA/edit?usp=sharing"",""อุดรธานี!M299"")"),173656)</f>
        <v>173656</v>
      </c>
      <c r="O404" s="169">
        <f t="shared" ca="1" si="112"/>
        <v>88.645227156712608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IFERROR(__xludf.DUMMYFUNCTION("IMPORTRANGE(""https://docs.google.com/spreadsheets/d/1XL5vhW3sbDhbH9Cz0tuDiY8C3ctxq1tqvaCgkFb8cCA/edit?usp=sharing"",""อุดรธานี!M301"")"),173656)</f>
        <v>173656</v>
      </c>
      <c r="O406" s="169">
        <f t="shared" ca="1" si="112"/>
        <v>88.645227156712608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IFERROR(__xludf.DUMMYFUNCTION("IMPORTRANGE(""https://docs.google.com/spreadsheets/d/1XL5vhW3sbDhbH9Cz0tuDiY8C3ctxq1tqvaCgkFb8cCA/edit?usp=sharing"",""อุดรธานี!M302"")"),114636)</f>
        <v>114636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IFERROR(__xludf.DUMMYFUNCTION("IMPORTRANGE(""https://docs.google.com/spreadsheets/d/1XL5vhW3sbDhbH9Cz0tuDiY8C3ctxq1tqvaCgkFb8cCA/edit?usp=sharing"",""อุดรธานี!M305"")"),17420)</f>
        <v>17420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IFERROR(__xludf.DUMMYFUNCTION("IMPORTRANGE(""https://docs.google.com/spreadsheets/d/1XL5vhW3sbDhbH9Cz0tuDiY8C3ctxq1tqvaCgkFb8cCA/edit?usp=sharing"",""อุดรธานี!M330"")"),99089)</f>
        <v>99089</v>
      </c>
      <c r="O435" s="412">
        <f t="shared" ref="O435:O439" ca="1" si="114">+IF(L435&gt;0,N435*100/L435,0)</f>
        <v>99.088999999999999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IFERROR(__xludf.DUMMYFUNCTION("IMPORTRANGE(""https://docs.google.com/spreadsheets/d/1XL5vhW3sbDhbH9Cz0tuDiY8C3ctxq1tqvaCgkFb8cCA/edit?usp=sharing"",""อุดรธานี!M332"")"),99089)</f>
        <v>99089</v>
      </c>
      <c r="O437" s="169">
        <f t="shared" ca="1" si="114"/>
        <v>99.088999999999999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IFERROR(__xludf.DUMMYFUNCTION("IMPORTRANGE(""https://docs.google.com/spreadsheets/d/1XL5vhW3sbDhbH9Cz0tuDiY8C3ctxq1tqvaCgkFb8cCA/edit?usp=sharing"",""อุดรธานี!M334"")"),99089)</f>
        <v>99089</v>
      </c>
      <c r="O439" s="169">
        <f t="shared" ca="1" si="114"/>
        <v>99.088999999999999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IFERROR(__xludf.DUMMYFUNCTION("IMPORTRANGE(""https://docs.google.com/spreadsheets/d/1XL5vhW3sbDhbH9Cz0tuDiY8C3ctxq1tqvaCgkFb8cCA/edit?usp=sharing"",""อุดรธานี!M338"")"),57799)</f>
        <v>57799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IFERROR(__xludf.DUMMYFUNCTION("IMPORTRANGE(""https://docs.google.com/spreadsheets/d/1XL5vhW3sbDhbH9Cz0tuDiY8C3ctxq1tqvaCgkFb8cCA/edit?usp=sharing"",""อุดรธานี!J350"")"),31428)</f>
        <v>31428</v>
      </c>
      <c r="K455" s="372">
        <f ca="1">IF(I455&gt;0,J455*100/I455,0)</f>
        <v>99.971371314056682</v>
      </c>
      <c r="L455" s="373">
        <f ca="1">IFERROR(__xludf.DUMMYFUNCTION("IMPORTRANGE(""https://docs.google.com/spreadsheets/d/1XL5vhW3sbDhbH9Cz0tuDiY8C3ctxq1tqvaCgkFb8cCA/edit?usp=sharing"",""อุดรธานี!L350"")"),454251)</f>
        <v>454251</v>
      </c>
      <c r="M455" s="373"/>
      <c r="N455" s="373">
        <f ca="1">IFERROR(__xludf.DUMMYFUNCTION("IMPORTRANGE(""https://docs.google.com/spreadsheets/d/1XL5vhW3sbDhbH9Cz0tuDiY8C3ctxq1tqvaCgkFb8cCA/edit?usp=sharing"",""อุดรธานี!M350"")"),259861.89)</f>
        <v>259861.89</v>
      </c>
      <c r="O455" s="373">
        <f t="shared" ref="O455:O459" ca="1" si="116">+IF(L455&gt;0,N455*100/L455,0)</f>
        <v>57.206674283600918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IFERROR(__xludf.DUMMYFUNCTION("IMPORTRANGE(""https://docs.google.com/spreadsheets/d/1XL5vhW3sbDhbH9Cz0tuDiY8C3ctxq1tqvaCgkFb8cCA/edit?usp=sharing"",""อุดรธานี!L352"")"),454251)</f>
        <v>454251</v>
      </c>
      <c r="M457" s="165"/>
      <c r="N457" s="169">
        <f ca="1">IFERROR(__xludf.DUMMYFUNCTION("IMPORTRANGE(""https://docs.google.com/spreadsheets/d/1XL5vhW3sbDhbH9Cz0tuDiY8C3ctxq1tqvaCgkFb8cCA/edit?usp=sharing"",""อุดรธานี!M352"")"),259861.89)</f>
        <v>259861.89</v>
      </c>
      <c r="O457" s="169">
        <f t="shared" ca="1" si="116"/>
        <v>57.206674283600918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IFERROR(__xludf.DUMMYFUNCTION("IMPORTRANGE(""https://docs.google.com/spreadsheets/d/1XL5vhW3sbDhbH9Cz0tuDiY8C3ctxq1tqvaCgkFb8cCA/edit?usp=sharing"",""อุดรธานี!L354"")"),454251)</f>
        <v>454251</v>
      </c>
      <c r="M459" s="169"/>
      <c r="N459" s="169">
        <f ca="1">IFERROR(__xludf.DUMMYFUNCTION("IMPORTRANGE(""https://docs.google.com/spreadsheets/d/1XL5vhW3sbDhbH9Cz0tuDiY8C3ctxq1tqvaCgkFb8cCA/edit?usp=sharing"",""อุดรธานี!M354"")"),259861.89)</f>
        <v>259861.89</v>
      </c>
      <c r="O459" s="169">
        <f t="shared" ca="1" si="116"/>
        <v>57.206674283600918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IFERROR(__xludf.DUMMYFUNCTION("IMPORTRANGE(""https://docs.google.com/spreadsheets/d/1XL5vhW3sbDhbH9Cz0tuDiY8C3ctxq1tqvaCgkFb8cCA/edit?usp=sharing"",""อุดรธานี!M358"")"),259861.89)</f>
        <v>259861.89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IFERROR(__xludf.DUMMYFUNCTION("IMPORTRANGE(""https://docs.google.com/spreadsheets/d/1XL5vhW3sbDhbH9Cz0tuDiY8C3ctxq1tqvaCgkFb8cCA/edit?usp=sharing"",""อุดรธานี!J359"")"),31428)</f>
        <v>31428</v>
      </c>
      <c r="K464" s="269">
        <f t="shared" ref="K464:K515" ca="1" si="117">IF(I464&gt;0,J464*100/I464,0)</f>
        <v>99.971371314056682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IFERROR(__xludf.DUMMYFUNCTION("IMPORTRANGE(""https://docs.google.com/spreadsheets/d/1XL5vhW3sbDhbH9Cz0tuDiY8C3ctxq1tqvaCgkFb8cCA/edit?usp=sharing"",""อุดรธานี!J376"")"),31428)</f>
        <v>31428</v>
      </c>
      <c r="K481" s="202">
        <f t="shared" ca="1" si="117"/>
        <v>99.971371314056682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IFERROR(__xludf.DUMMYFUNCTION("IMPORTRANGE(""https://docs.google.com/spreadsheets/d/1XL5vhW3sbDhbH9Cz0tuDiY8C3ctxq1tqvaCgkFb8cCA/edit?usp=sharing"",""อุดรธานี!J377"")"),2443)</f>
        <v>2443</v>
      </c>
      <c r="K482" s="163">
        <f t="shared" ca="1" si="117"/>
        <v>100.2050861361772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IFERROR(__xludf.DUMMYFUNCTION("IMPORTRANGE(""https://docs.google.com/spreadsheets/d/1XL5vhW3sbDhbH9Cz0tuDiY8C3ctxq1tqvaCgkFb8cCA/edit?usp=sharing"",""อุดรธานี!J378"")"),30005)</f>
        <v>30005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IFERROR(__xludf.DUMMYFUNCTION("IMPORTRANGE(""https://docs.google.com/spreadsheets/d/1XL5vhW3sbDhbH9Cz0tuDiY8C3ctxq1tqvaCgkFb8cCA/edit?usp=sharing"",""อุดรธานี!J379"")"),2352)</f>
        <v>2352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IFERROR(__xludf.DUMMYFUNCTION("IMPORTRANGE(""https://docs.google.com/spreadsheets/d/1XL5vhW3sbDhbH9Cz0tuDiY8C3ctxq1tqvaCgkFb8cCA/edit?usp=sharing"",""อุดรธานี!J392"")"),4062.245)</f>
        <v>4062.2449999999999</v>
      </c>
      <c r="K497" s="444">
        <f t="shared" ca="1" si="117"/>
        <v>39.589172595263619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IFERROR(__xludf.DUMMYFUNCTION("IMPORTRANGE(""https://docs.google.com/spreadsheets/d/1XL5vhW3sbDhbH9Cz0tuDiY8C3ctxq1tqvaCgkFb8cCA/edit?usp=sharing"",""อุดรธานี!J393"")"),4062.245)</f>
        <v>4062.2449999999999</v>
      </c>
      <c r="K498" s="163">
        <f t="shared" ca="1" si="117"/>
        <v>39.589172595263619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IFERROR(__xludf.DUMMYFUNCTION("IMPORTRANGE(""https://docs.google.com/spreadsheets/d/1XL5vhW3sbDhbH9Cz0tuDiY8C3ctxq1tqvaCgkFb8cCA/edit?usp=sharing"",""อุดรธานี!J394"")"),353)</f>
        <v>353</v>
      </c>
      <c r="K499" s="202">
        <f t="shared" ca="1" si="117"/>
        <v>48.290013679890563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IFERROR(__xludf.DUMMYFUNCTION("IMPORTRANGE(""https://docs.google.com/spreadsheets/d/1XL5vhW3sbDhbH9Cz0tuDiY8C3ctxq1tqvaCgkFb8cCA/edit?usp=sharing"",""อุดรธานี!J395"")"),4060)</f>
        <v>4060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IFERROR(__xludf.DUMMYFUNCTION("IMPORTRANGE(""https://docs.google.com/spreadsheets/d/1XL5vhW3sbDhbH9Cz0tuDiY8C3ctxq1tqvaCgkFb8cCA/edit?usp=sharing"",""อุดรธานี!J396"")"),352)</f>
        <v>352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IFERROR(__xludf.DUMMYFUNCTION("IMPORTRANGE(""https://docs.google.com/spreadsheets/d/1XL5vhW3sbDhbH9Cz0tuDiY8C3ctxq1tqvaCgkFb8cCA/edit?usp=sharing"",""อุดรธานี!J397"")"),4060)</f>
        <v>4060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IFERROR(__xludf.DUMMYFUNCTION("IMPORTRANGE(""https://docs.google.com/spreadsheets/d/1XL5vhW3sbDhbH9Cz0tuDiY8C3ctxq1tqvaCgkFb8cCA/edit?usp=sharing"",""อุดรธานี!J398"")"),352)</f>
        <v>352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IFERROR(__xludf.DUMMYFUNCTION("IMPORTRANGE(""https://docs.google.com/spreadsheets/d/1XL5vhW3sbDhbH9Cz0tuDiY8C3ctxq1tqvaCgkFb8cCA/edit?usp=sharing"",""อุดรธานี!J403"")"),2.245)</f>
        <v>2.2450000000000001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IFERROR(__xludf.DUMMYFUNCTION("IMPORTRANGE(""https://docs.google.com/spreadsheets/d/1XL5vhW3sbDhbH9Cz0tuDiY8C3ctxq1tqvaCgkFb8cCA/edit?usp=sharing"",""อุดรธานี!J405"")"),2.245)</f>
        <v>2.2450000000000001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IFERROR(__xludf.DUMMYFUNCTION("IMPORTRANGE(""https://docs.google.com/spreadsheets/d/1XL5vhW3sbDhbH9Cz0tuDiY8C3ctxq1tqvaCgkFb8cCA/edit?usp=sharing"",""อุดรธานี!I412"")"),0)</f>
        <v>0</v>
      </c>
      <c r="J517" s="285">
        <f ca="1">IFERROR(__xludf.DUMMYFUNCTION("IMPORTRANGE(""https://docs.google.com/spreadsheets/d/1XL5vhW3sbDhbH9Cz0tuDiY8C3ctxq1tqvaCgkFb8cCA/edit?usp=sharing"",""อุดรธานี!J412"")"),0)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IFERROR(__xludf.DUMMYFUNCTION("IMPORTRANGE(""https://docs.google.com/spreadsheets/d/1XL5vhW3sbDhbH9Cz0tuDiY8C3ctxq1tqvaCgkFb8cCA/edit?usp=sharing"",""อุดรธานี!I413"")"),0)</f>
        <v>0</v>
      </c>
      <c r="J518" s="285">
        <f ca="1">IFERROR(__xludf.DUMMYFUNCTION("IMPORTRANGE(""https://docs.google.com/spreadsheets/d/1XL5vhW3sbDhbH9Cz0tuDiY8C3ctxq1tqvaCgkFb8cCA/edit?usp=sharing"",""อุดรธานี!J413"")"),0)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IFERROR(__xludf.DUMMYFUNCTION("IMPORTRANGE(""https://docs.google.com/spreadsheets/d/1XL5vhW3sbDhbH9Cz0tuDiY8C3ctxq1tqvaCgkFb8cCA/edit?usp=sharing"",""อุดรธานี!J418"")"),2080)</f>
        <v>2080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IFERROR(__xludf.DUMMYFUNCTION("IMPORTRANGE(""https://docs.google.com/spreadsheets/d/1XL5vhW3sbDhbH9Cz0tuDiY8C3ctxq1tqvaCgkFb8cCA/edit?usp=sharing"",""อุดรธานี!J419"")"),98)</f>
        <v>98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IFERROR(__xludf.DUMMYFUNCTION("IMPORTRANGE(""https://docs.google.com/spreadsheets/d/1XL5vhW3sbDhbH9Cz0tuDiY8C3ctxq1tqvaCgkFb8cCA/edit?usp=sharing"",""อุดรธานี!I420"")"),2080)</f>
        <v>2080</v>
      </c>
      <c r="J525" s="285">
        <f ca="1">IFERROR(__xludf.DUMMYFUNCTION("IMPORTRANGE(""https://docs.google.com/spreadsheets/d/1XL5vhW3sbDhbH9Cz0tuDiY8C3ctxq1tqvaCgkFb8cCA/edit?usp=sharing"",""อุดรธานี!J420"")"),6)</f>
        <v>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IFERROR(__xludf.DUMMYFUNCTION("IMPORTRANGE(""https://docs.google.com/spreadsheets/d/1XL5vhW3sbDhbH9Cz0tuDiY8C3ctxq1tqvaCgkFb8cCA/edit?usp=sharing"",""อุดรธานี!I421"")"),98)</f>
        <v>98</v>
      </c>
      <c r="J526" s="285">
        <f ca="1">IFERROR(__xludf.DUMMYFUNCTION("IMPORTRANGE(""https://docs.google.com/spreadsheets/d/1XL5vhW3sbDhbH9Cz0tuDiY8C3ctxq1tqvaCgkFb8cCA/edit?usp=sharing"",""อุดรธานี!J421"")"),6)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IFERROR(__xludf.DUMMYFUNCTION("IMPORTRANGE(""https://docs.google.com/spreadsheets/d/1XL5vhW3sbDhbH9Cz0tuDiY8C3ctxq1tqvaCgkFb8cCA/edit?usp=sharing"",""อุดรธานี!J422"")"),6)</f>
        <v>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IFERROR(__xludf.DUMMYFUNCTION("IMPORTRANGE(""https://docs.google.com/spreadsheets/d/1XL5vhW3sbDhbH9Cz0tuDiY8C3ctxq1tqvaCgkFb8cCA/edit?usp=sharing"",""อุดรธานี!M428"")"),33369)</f>
        <v>33369</v>
      </c>
      <c r="O533" s="412">
        <f t="shared" ref="O533:O537" ca="1" si="118">+IF(L533&gt;0,N533*100/L533,0)</f>
        <v>90.455407969639467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IFERROR(__xludf.DUMMYFUNCTION("IMPORTRANGE(""https://docs.google.com/spreadsheets/d/1XL5vhW3sbDhbH9Cz0tuDiY8C3ctxq1tqvaCgkFb8cCA/edit?usp=sharing"",""อุดรธานี!L430"")"),36890)</f>
        <v>36890</v>
      </c>
      <c r="M535" s="165"/>
      <c r="N535" s="169">
        <f ca="1">IFERROR(__xludf.DUMMYFUNCTION("IMPORTRANGE(""https://docs.google.com/spreadsheets/d/1XL5vhW3sbDhbH9Cz0tuDiY8C3ctxq1tqvaCgkFb8cCA/edit?usp=sharing"",""อุดรธานี!M430"")"),33369)</f>
        <v>33369</v>
      </c>
      <c r="O535" s="169">
        <f t="shared" ca="1" si="118"/>
        <v>90.455407969639467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IFERROR(__xludf.DUMMYFUNCTION("IMPORTRANGE(""https://docs.google.com/spreadsheets/d/1XL5vhW3sbDhbH9Cz0tuDiY8C3ctxq1tqvaCgkFb8cCA/edit?usp=sharing"",""อุดรธานี!L432"")"),36890)</f>
        <v>36890</v>
      </c>
      <c r="M537" s="169"/>
      <c r="N537" s="169">
        <f ca="1">IFERROR(__xludf.DUMMYFUNCTION("IMPORTRANGE(""https://docs.google.com/spreadsheets/d/1XL5vhW3sbDhbH9Cz0tuDiY8C3ctxq1tqvaCgkFb8cCA/edit?usp=sharing"",""อุดรธานี!M432"")"),33369)</f>
        <v>33369</v>
      </c>
      <c r="O537" s="169">
        <f t="shared" ca="1" si="118"/>
        <v>90.455407969639467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IFERROR(__xludf.DUMMYFUNCTION("IMPORTRANGE(""https://docs.google.com/spreadsheets/d/1XL5vhW3sbDhbH9Cz0tuDiY8C3ctxq1tqvaCgkFb8cCA/edit?usp=sharing"",""อุดรธานี!M436"")"),15024)</f>
        <v>15024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IFERROR(__xludf.DUMMYFUNCTION("IMPORTRANGE(""https://docs.google.com/spreadsheets/d/1XL5vhW3sbDhbH9Cz0tuDiY8C3ctxq1tqvaCgkFb8cCA/edit?usp=sharing"",""อุดรธานี!J459"")"),17897)</f>
        <v>17897</v>
      </c>
      <c r="K564" s="372">
        <f ca="1">IF(I564&gt;0,J564*100/I564,0)</f>
        <v>344.17307692307691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IFERROR(__xludf.DUMMYFUNCTION("IMPORTRANGE(""https://docs.google.com/spreadsheets/d/1XL5vhW3sbDhbH9Cz0tuDiY8C3ctxq1tqvaCgkFb8cCA/edit?usp=sharing"",""อุดรธานี!M459"")"),161836.04)</f>
        <v>161836.04</v>
      </c>
      <c r="O564" s="373">
        <f t="shared" ref="O564:O568" ca="1" si="122">+IF(L564&gt;0,N564*100/L564,0)</f>
        <v>93.65511574074074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IFERROR(__xludf.DUMMYFUNCTION("IMPORTRANGE(""https://docs.google.com/spreadsheets/d/1XL5vhW3sbDhbH9Cz0tuDiY8C3ctxq1tqvaCgkFb8cCA/edit?usp=sharing"",""อุดรธานี!M461"")"),161836.04)</f>
        <v>161836.04</v>
      </c>
      <c r="O566" s="169">
        <f t="shared" ca="1" si="122"/>
        <v>93.65511574074074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IFERROR(__xludf.DUMMYFUNCTION("IMPORTRANGE(""https://docs.google.com/spreadsheets/d/1XL5vhW3sbDhbH9Cz0tuDiY8C3ctxq1tqvaCgkFb8cCA/edit?usp=sharing"",""อุดรธานี!M463"")"),161836.04)</f>
        <v>161836.04</v>
      </c>
      <c r="O568" s="169">
        <f t="shared" ca="1" si="122"/>
        <v>93.65511574074074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IFERROR(__xludf.DUMMYFUNCTION("IMPORTRANGE(""https://docs.google.com/spreadsheets/d/1XL5vhW3sbDhbH9Cz0tuDiY8C3ctxq1tqvaCgkFb8cCA/edit?usp=sharing"",""อุดรธานี!M466"")"),96480.64)</f>
        <v>96480.639999999999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IFERROR(__xludf.DUMMYFUNCTION("IMPORTRANGE(""https://docs.google.com/spreadsheets/d/1XL5vhW3sbDhbH9Cz0tuDiY8C3ctxq1tqvaCgkFb8cCA/edit?usp=sharing"",""อุดรธานี!M467"")"),65355.4)</f>
        <v>65355.4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IFERROR(__xludf.DUMMYFUNCTION("IMPORTRANGE(""https://docs.google.com/spreadsheets/d/1XL5vhW3sbDhbH9Cz0tuDiY8C3ctxq1tqvaCgkFb8cCA/edit?usp=sharing"",""อุดรธานี!J468"")"),17897)</f>
        <v>17897</v>
      </c>
      <c r="K573" s="202">
        <f ca="1">IF(I573&gt;0,J573*100/I573,0)</f>
        <v>344.17307692307691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IFERROR(__xludf.DUMMYFUNCTION("IMPORTRANGE(""https://docs.google.com/spreadsheets/d/1XL5vhW3sbDhbH9Cz0tuDiY8C3ctxq1tqvaCgkFb8cCA/edit?usp=sharing"",""อุดรธานี!J471"")"),578)</f>
        <v>578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IFERROR(__xludf.DUMMYFUNCTION("IMPORTRANGE(""https://docs.google.com/spreadsheets/d/1XL5vhW3sbDhbH9Cz0tuDiY8C3ctxq1tqvaCgkFb8cCA/edit?usp=sharing"",""อุดรธานี!J472"")"),17319)</f>
        <v>17319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IFERROR(__xludf.DUMMYFUNCTION("IMPORTRANGE(""https://docs.google.com/spreadsheets/d/1XL5vhW3sbDhbH9Cz0tuDiY8C3ctxq1tqvaCgkFb8cCA/edit?usp=sharing"",""อุดรธานี!J475"")"),178)</f>
        <v>178</v>
      </c>
      <c r="K580" s="372">
        <f ca="1">IF(I580&gt;0,J580*100/I580,0)</f>
        <v>46.842105263157897</v>
      </c>
      <c r="L580" s="373">
        <f ca="1">IFERROR(__xludf.DUMMYFUNCTION("IMPORTRANGE(""https://docs.google.com/spreadsheets/d/1XL5vhW3sbDhbH9Cz0tuDiY8C3ctxq1tqvaCgkFb8cCA/edit?usp=sharing"",""อุดรธานี!L475"")"),549580)</f>
        <v>549580</v>
      </c>
      <c r="M580" s="373"/>
      <c r="N580" s="373">
        <f ca="1">IFERROR(__xludf.DUMMYFUNCTION("IMPORTRANGE(""https://docs.google.com/spreadsheets/d/1XL5vhW3sbDhbH9Cz0tuDiY8C3ctxq1tqvaCgkFb8cCA/edit?usp=sharing"",""อุดรธานี!M475"")"),489510.77)</f>
        <v>489510.77</v>
      </c>
      <c r="O580" s="373">
        <f t="shared" ref="O580:O584" ca="1" si="124">+IF(L580&gt;0,N580*100/L580,0)</f>
        <v>89.069975253830194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IFERROR(__xludf.DUMMYFUNCTION("IMPORTRANGE(""https://docs.google.com/spreadsheets/d/1XL5vhW3sbDhbH9Cz0tuDiY8C3ctxq1tqvaCgkFb8cCA/edit?usp=sharing"",""อุดรธานี!L477"")"),549580)</f>
        <v>549580</v>
      </c>
      <c r="M582" s="165"/>
      <c r="N582" s="169">
        <f ca="1">IFERROR(__xludf.DUMMYFUNCTION("IMPORTRANGE(""https://docs.google.com/spreadsheets/d/1XL5vhW3sbDhbH9Cz0tuDiY8C3ctxq1tqvaCgkFb8cCA/edit?usp=sharing"",""อุดรธานี!M477"")"),489510.77)</f>
        <v>489510.77</v>
      </c>
      <c r="O582" s="169">
        <f t="shared" ca="1" si="124"/>
        <v>89.069975253830194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IFERROR(__xludf.DUMMYFUNCTION("IMPORTRANGE(""https://docs.google.com/spreadsheets/d/1XL5vhW3sbDhbH9Cz0tuDiY8C3ctxq1tqvaCgkFb8cCA/edit?usp=sharing"",""อุดรธานี!L479"")"),549580)</f>
        <v>549580</v>
      </c>
      <c r="M584" s="169"/>
      <c r="N584" s="169">
        <f ca="1">IFERROR(__xludf.DUMMYFUNCTION("IMPORTRANGE(""https://docs.google.com/spreadsheets/d/1XL5vhW3sbDhbH9Cz0tuDiY8C3ctxq1tqvaCgkFb8cCA/edit?usp=sharing"",""อุดรธานี!M479"")"),489510.77)</f>
        <v>489510.77</v>
      </c>
      <c r="O584" s="169">
        <f t="shared" ca="1" si="124"/>
        <v>89.069975253830194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IFERROR(__xludf.DUMMYFUNCTION("IMPORTRANGE(""https://docs.google.com/spreadsheets/d/1XL5vhW3sbDhbH9Cz0tuDiY8C3ctxq1tqvaCgkFb8cCA/edit?usp=sharing"",""อุดรธานี!M482"")"),192310.74)</f>
        <v>192310.74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IFERROR(__xludf.DUMMYFUNCTION("IMPORTRANGE(""https://docs.google.com/spreadsheets/d/1XL5vhW3sbDhbH9Cz0tuDiY8C3ctxq1tqvaCgkFb8cCA/edit?usp=sharing"",""อุดรธานี!M483"")"),297200.03)</f>
        <v>297200.03000000003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IFERROR(__xludf.DUMMYFUNCTION("IMPORTRANGE(""https://docs.google.com/spreadsheets/d/1XL5vhW3sbDhbH9Cz0tuDiY8C3ctxq1tqvaCgkFb8cCA/edit?usp=sharing"",""อุดรธานี!J484"")"),559)</f>
        <v>559</v>
      </c>
      <c r="K589" s="163">
        <f t="shared" ref="K589:K596" ca="1" si="125">IF(I589&gt;0,J589*100/I589,0)</f>
        <v>147.10526315789474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IFERROR(__xludf.DUMMYFUNCTION("IMPORTRANGE(""https://docs.google.com/spreadsheets/d/1XL5vhW3sbDhbH9Cz0tuDiY8C3ctxq1tqvaCgkFb8cCA/edit?usp=sharing"",""อุดรธานี!J485"")"),293.41)</f>
        <v>293.41000000000003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IFERROR(__xludf.DUMMYFUNCTION("IMPORTRANGE(""https://docs.google.com/spreadsheets/d/1XL5vhW3sbDhbH9Cz0tuDiY8C3ctxq1tqvaCgkFb8cCA/edit?usp=sharing"",""อุดรธานี!J486"")"),630)</f>
        <v>630</v>
      </c>
      <c r="K591" s="163">
        <f t="shared" ca="1" si="125"/>
        <v>165.78947368421052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IFERROR(__xludf.DUMMYFUNCTION("IMPORTRANGE(""https://docs.google.com/spreadsheets/d/1XL5vhW3sbDhbH9Cz0tuDiY8C3ctxq1tqvaCgkFb8cCA/edit?usp=sharing"",""อุดรธานี!J487"")"),356.19)</f>
        <v>356.19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IFERROR(__xludf.DUMMYFUNCTION("IMPORTRANGE(""https://docs.google.com/spreadsheets/d/1XL5vhW3sbDhbH9Cz0tuDiY8C3ctxq1tqvaCgkFb8cCA/edit?usp=sharing"",""อุดรธานี!J488"")"),291)</f>
        <v>291</v>
      </c>
      <c r="K593" s="163">
        <f t="shared" ca="1" si="125"/>
        <v>76.578947368421055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IFERROR(__xludf.DUMMYFUNCTION("IMPORTRANGE(""https://docs.google.com/spreadsheets/d/1XL5vhW3sbDhbH9Cz0tuDiY8C3ctxq1tqvaCgkFb8cCA/edit?usp=sharing"",""อุดรธานี!J489"")"),161.41)</f>
        <v>161.41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IFERROR(__xludf.DUMMYFUNCTION("IMPORTRANGE(""https://docs.google.com/spreadsheets/d/1XL5vhW3sbDhbH9Cz0tuDiY8C3ctxq1tqvaCgkFb8cCA/edit?usp=sharing"",""อุดรธานี!J490"")"),178)</f>
        <v>178</v>
      </c>
      <c r="K595" s="163">
        <f t="shared" ca="1" si="125"/>
        <v>46.842105263157897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IFERROR(__xludf.DUMMYFUNCTION("IMPORTRANGE(""https://docs.google.com/spreadsheets/d/1XL5vhW3sbDhbH9Cz0tuDiY8C3ctxq1tqvaCgkFb8cCA/edit?usp=sharing"",""อุดรธานี!J491"")"),89.6)</f>
        <v>89.6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8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17.142857142857142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17.142857142857142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IFERROR(__xludf.DUMMYFUNCTION("IMPORTRANGE(""https://docs.google.com/spreadsheets/d/1XL5vhW3sbDhbH9Cz0tuDiY8C3ctxq1tqvaCgkFb8cCA/edit?usp=sharing"",""อุดรธานี!J166"")"),0)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IFERROR(__xludf.DUMMYFUNCTION("IMPORTRANGE(""https://docs.google.com/spreadsheets/d/1XL5vhW3sbDhbH9Cz0tuDiY8C3ctxq1tqvaCgkFb8cCA/edit?usp=sharing"",""อุดรธานี!J166"")"),0)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2">
        <f ca="1">IFERROR(__xludf.DUMMYFUNCTION("IMPORTRANGE(""https://docs.google.com/spreadsheets/d/1XL5vhW3sbDhbH9Cz0tuDiY8C3ctxq1tqvaCgkFb8cCA/edit?usp=sharing"",""อุดรธานี!J523"")"),3910418.05)</f>
        <v>3910418.05</v>
      </c>
      <c r="K628" s="343">
        <f t="shared" ref="K628:K635" ca="1" si="129">IF(I628&gt;0,J628*100/I628,0)</f>
        <v>90.354977405802856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IFERROR(__xludf.DUMMYFUNCTION("IMPORTRANGE(""https://docs.google.com/spreadsheets/d/1XL5vhW3sbDhbH9Cz0tuDiY8C3ctxq1tqvaCgkFb8cCA/edit?usp=sharing"",""อุดรธานี!I524"")"),302)</f>
        <v>302</v>
      </c>
      <c r="J629" s="342">
        <f ca="1">IFERROR(__xludf.DUMMYFUNCTION("IMPORTRANGE(""https://docs.google.com/spreadsheets/d/1XL5vhW3sbDhbH9Cz0tuDiY8C3ctxq1tqvaCgkFb8cCA/edit?usp=sharing"",""อุดรธานี!J524"")"),240)</f>
        <v>240</v>
      </c>
      <c r="K629" s="343">
        <f t="shared" ca="1" si="129"/>
        <v>79.47019867549669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2">
        <f ca="1">IFERROR(__xludf.DUMMYFUNCTION("IMPORTRANGE(""https://docs.google.com/spreadsheets/d/1XL5vhW3sbDhbH9Cz0tuDiY8C3ctxq1tqvaCgkFb8cCA/edit?usp=sharing"",""อุดรธานี!J525"")"),667925.83)</f>
        <v>667925.82999999996</v>
      </c>
      <c r="K630" s="343">
        <f t="shared" ca="1" si="129"/>
        <v>35.32766127766741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IFERROR(__xludf.DUMMYFUNCTION("IMPORTRANGE(""https://docs.google.com/spreadsheets/d/1XL5vhW3sbDhbH9Cz0tuDiY8C3ctxq1tqvaCgkFb8cCA/edit?usp=sharing"",""อุดรธานี!I526"")"),120)</f>
        <v>120</v>
      </c>
      <c r="J631" s="342">
        <f ca="1">IFERROR(__xludf.DUMMYFUNCTION("IMPORTRANGE(""https://docs.google.com/spreadsheets/d/1XL5vhW3sbDhbH9Cz0tuDiY8C3ctxq1tqvaCgkFb8cCA/edit?usp=sharing"",""อุดรธานี!J526"")"),63)</f>
        <v>63</v>
      </c>
      <c r="K631" s="343">
        <f t="shared" ca="1" si="129"/>
        <v>52.5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2">
        <f ca="1">IFERROR(__xludf.DUMMYFUNCTION("IMPORTRANGE(""https://docs.google.com/spreadsheets/d/1XL5vhW3sbDhbH9Cz0tuDiY8C3ctxq1tqvaCgkFb8cCA/edit?usp=sharing"",""อุดรธานี!J527"")"),85707.36)</f>
        <v>85707.36</v>
      </c>
      <c r="K632" s="343">
        <f t="shared" ca="1" si="129"/>
        <v>12.280862564088382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IFERROR(__xludf.DUMMYFUNCTION("IMPORTRANGE(""https://docs.google.com/spreadsheets/d/1XL5vhW3sbDhbH9Cz0tuDiY8C3ctxq1tqvaCgkFb8cCA/edit?usp=sharing"",""อุดรธานี!I528"")"),24)</f>
        <v>24</v>
      </c>
      <c r="J633" s="342">
        <f ca="1">IFERROR(__xludf.DUMMYFUNCTION("IMPORTRANGE(""https://docs.google.com/spreadsheets/d/1XL5vhW3sbDhbH9Cz0tuDiY8C3ctxq1tqvaCgkFb8cCA/edit?usp=sharing"",""อุดรธานี!J528"")"),17)</f>
        <v>17</v>
      </c>
      <c r="K633" s="343">
        <f t="shared" ca="1" si="129"/>
        <v>70.833333333333329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IFERROR(__xludf.DUMMYFUNCTION("IMPORTRANGE(""https://docs.google.com/spreadsheets/d/1XL5vhW3sbDhbH9Cz0tuDiY8C3ctxq1tqvaCgkFb8cCA/edit?usp=sharing"",""อุดรธานี!I529"")"),5000000)</f>
        <v>5000000</v>
      </c>
      <c r="J634" s="342">
        <f ca="1">IFERROR(__xludf.DUMMYFUNCTION("IMPORTRANGE(""https://docs.google.com/spreadsheets/d/1XL5vhW3sbDhbH9Cz0tuDiY8C3ctxq1tqvaCgkFb8cCA/edit?usp=sharing"",""อุดรธานี!J529"")"),5000000)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IFERROR(__xludf.DUMMYFUNCTION("IMPORTRANGE(""https://docs.google.com/spreadsheets/d/1XL5vhW3sbDhbH9Cz0tuDiY8C3ctxq1tqvaCgkFb8cCA/edit?usp=sharing"",""อุดรธานี!I530"")"),200)</f>
        <v>200</v>
      </c>
      <c r="J635" s="505">
        <f ca="1">IFERROR(__xludf.DUMMYFUNCTION("IMPORTRANGE(""https://docs.google.com/spreadsheets/d/1XL5vhW3sbDhbH9Cz0tuDiY8C3ctxq1tqvaCgkFb8cCA/edit?usp=sharing"",""อุดรธานี!J530"")"),182)</f>
        <v>182</v>
      </c>
      <c r="K635" s="487">
        <f t="shared" ca="1" si="129"/>
        <v>91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106870</v>
      </c>
      <c r="M636" s="511"/>
      <c r="N636" s="510">
        <f ca="1">SUM(N637:N638)</f>
        <v>2680</v>
      </c>
      <c r="O636" s="510">
        <f t="shared" ref="O636:O640" ca="1" si="130">+IF(L636&gt;0,N636*100/L636,0)</f>
        <v>2.5077196593992701</v>
      </c>
      <c r="P636" s="56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106870</v>
      </c>
      <c r="M638" s="521"/>
      <c r="N638" s="522">
        <f ca="1">SUM(N639:N640)</f>
        <v>2680</v>
      </c>
      <c r="O638" s="522">
        <f t="shared" ca="1" si="130"/>
        <v>2.5077196593992701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106870</v>
      </c>
      <c r="M640" s="521"/>
      <c r="N640" s="522">
        <f ca="1">SUM(N641:N644)</f>
        <v>2680</v>
      </c>
      <c r="O640" s="522">
        <f t="shared" ca="1" si="130"/>
        <v>2.5077196593992701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2680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IFERROR(__xludf.DUMMYFUNCTION("IMPORTRANGE(""https://docs.google.com/spreadsheets/d/1XL5vhW3sbDhbH9Cz0tuDiY8C3ctxq1tqvaCgkFb8cCA/edit#gid=346597447"",""อุดรธานี!J541"")"),0)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IFERROR(__xludf.DUMMYFUNCTION("IMPORTRANGE(""https://docs.google.com/spreadsheets/d/1XL5vhW3sbDhbH9Cz0tuDiY8C3ctxq1tqvaCgkFb8cCA/edit#gid=346597447"",""อุดรธานี!J542"")"),0)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IFERROR(__xludf.DUMMYFUNCTION("IMPORTRANGE(""https://docs.google.com/spreadsheets/d/1XL5vhW3sbDhbH9Cz0tuDiY8C3ctxq1tqvaCgkFb8cCA/edit#gid=346597447"",""อุดรธานี!I543"")"),572)</f>
        <v>572</v>
      </c>
      <c r="J648" s="534">
        <f ca="1">IFERROR(__xludf.DUMMYFUNCTION("IMPORTRANGE(""https://docs.google.com/spreadsheets/d/1XL5vhW3sbDhbH9Cz0tuDiY8C3ctxq1tqvaCgkFb8cCA/edit#gid=346597447"",""อุดรธานี!J543"")"),0)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IFERROR(__xludf.DUMMYFUNCTION("IMPORTRANGE(""https://docs.google.com/spreadsheets/d/1XL5vhW3sbDhbH9Cz0tuDiY8C3ctxq1tqvaCgkFb8cCA/edit#gid=346597447"",""อุดรธานี!L543"")"),45760)</f>
        <v>45760</v>
      </c>
      <c r="M648" s="521"/>
      <c r="N648" s="536">
        <f ca="1">IFERROR(__xludf.DUMMYFUNCTION("IMPORTRANGE(""https://docs.google.com/spreadsheets/d/1XL5vhW3sbDhbH9Cz0tuDiY8C3ctxq1tqvaCgkFb8cCA/edit#gid=346597447"",""อุดรธานี!M543"")"),0)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IFERROR(__xludf.DUMMYFUNCTION("IMPORTRANGE(""https://docs.google.com/spreadsheets/d/1XL5vhW3sbDhbH9Cz0tuDiY8C3ctxq1tqvaCgkFb8cCA/edit#gid=346597447"",""อุดรธานี!I544"")"),53)</f>
        <v>53</v>
      </c>
      <c r="J649" s="534">
        <f ca="1">IFERROR(__xludf.DUMMYFUNCTION("IMPORTRANGE(""https://docs.google.com/spreadsheets/d/1XL5vhW3sbDhbH9Cz0tuDiY8C3ctxq1tqvaCgkFb8cCA/edit#gid=346597447"",""อุดรธานี!J544"")"),0)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IFERROR(__xludf.DUMMYFUNCTION("IMPORTRANGE(""https://docs.google.com/spreadsheets/d/1XL5vhW3sbDhbH9Cz0tuDiY8C3ctxq1tqvaCgkFb8cCA/edit#gid=346597447"",""อุดรธานี!L544"")"),6360)</f>
        <v>6360</v>
      </c>
      <c r="M649" s="521"/>
      <c r="N649" s="536">
        <f ca="1">IFERROR(__xludf.DUMMYFUNCTION("IMPORTRANGE(""https://docs.google.com/spreadsheets/d/1XL5vhW3sbDhbH9Cz0tuDiY8C3ctxq1tqvaCgkFb8cCA/edit#gid=346597447"",""อุดรธานี!M544"")"),2680)</f>
        <v>2680</v>
      </c>
      <c r="O649" s="535">
        <f t="shared" ca="1" si="132"/>
        <v>42.138364779874216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IFERROR(__xludf.DUMMYFUNCTION("IMPORTRANGE(""https://docs.google.com/spreadsheets/d/1XL5vhW3sbDhbH9Cz0tuDiY8C3ctxq1tqvaCgkFb8cCA/edit#gid=346597447"",""อุดรธานี!I545"")"),0)</f>
        <v>0</v>
      </c>
      <c r="J650" s="534">
        <f ca="1">IFERROR(__xludf.DUMMYFUNCTION("IMPORTRANGE(""https://docs.google.com/spreadsheets/d/1XL5vhW3sbDhbH9Cz0tuDiY8C3ctxq1tqvaCgkFb8cCA/edit#gid=346597447"",""อุดรธานี!J545"")"),0)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IFERROR(__xludf.DUMMYFUNCTION("IMPORTRANGE(""https://docs.google.com/spreadsheets/d/1XL5vhW3sbDhbH9Cz0tuDiY8C3ctxq1tqvaCgkFb8cCA/edit#gid=346597447"",""อุดรธานี!L545"")"),0)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IFERROR(__xludf.DUMMYFUNCTION("IMPORTRANGE(""https://docs.google.com/spreadsheets/d/1XL5vhW3sbDhbH9Cz0tuDiY8C3ctxq1tqvaCgkFb8cCA/edit#gid=346597447"",""อุดรธานี!M545"")"),0)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IFERROR(__xludf.DUMMYFUNCTION("IMPORTRANGE(""https://docs.google.com/spreadsheets/d/1XL5vhW3sbDhbH9Cz0tuDiY8C3ctxq1tqvaCgkFb8cCA/edit#gid=346597447"",""อุดรธานี!I546"")"),214)</f>
        <v>214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IFERROR(__xludf.DUMMYFUNCTION("IMPORTRANGE(""https://docs.google.com/spreadsheets/d/1XL5vhW3sbDhbH9Cz0tuDiY8C3ctxq1tqvaCgkFb8cCA/edit#gid=346597447"",""อุดรธานี!L546"")"),5350)</f>
        <v>5350</v>
      </c>
      <c r="M651" s="521"/>
      <c r="N651" s="536">
        <f ca="1">IFERROR(__xludf.DUMMYFUNCTION("IMPORTRANGE(""https://docs.google.com/spreadsheets/d/1XL5vhW3sbDhbH9Cz0tuDiY8C3ctxq1tqvaCgkFb8cCA/edit#gid=346597447"",""อุดรธานี!M546"")"),0)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IFERROR(__xludf.DUMMYFUNCTION("IMPORTRANGE(""https://docs.google.com/spreadsheets/d/1XL5vhW3sbDhbH9Cz0tuDiY8C3ctxq1tqvaCgkFb8cCA/edit#gid=346597447"",""อุดรธานี!J547"")"),0)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IFERROR(__xludf.DUMMYFUNCTION("IMPORTRANGE(""https://docs.google.com/spreadsheets/d/1XL5vhW3sbDhbH9Cz0tuDiY8C3ctxq1tqvaCgkFb8cCA/edit#gid=346597447"",""อุดรธานี!J548"")"),0)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IFERROR(__xludf.DUMMYFUNCTION("IMPORTRANGE(""https://docs.google.com/spreadsheets/d/1XL5vhW3sbDhbH9Cz0tuDiY8C3ctxq1tqvaCgkFb8cCA/edit#gid=346597447"",""อุดรธานี!J550"")"),0)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IFERROR(__xludf.DUMMYFUNCTION("IMPORTRANGE(""https://docs.google.com/spreadsheets/d/1XL5vhW3sbDhbH9Cz0tuDiY8C3ctxq1tqvaCgkFb8cCA/edit#gid=346597447"",""อุดรธานี!J551"")"),0)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IFERROR(__xludf.DUMMYFUNCTION("IMPORTRANGE(""https://docs.google.com/spreadsheets/d/1XL5vhW3sbDhbH9Cz0tuDiY8C3ctxq1tqvaCgkFb8cCA/edit#gid=346597447"",""อุดรธานี!J552"")"),0)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IFERROR(__xludf.DUMMYFUNCTION("IMPORTRANGE(""https://docs.google.com/spreadsheets/d/1XL5vhW3sbDhbH9Cz0tuDiY8C3ctxq1tqvaCgkFb8cCA/edit#gid=346597447"",""อุดรธานี!J553"")"),0)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IFERROR(__xludf.DUMMYFUNCTION("IMPORTRANGE(""https://docs.google.com/spreadsheets/d/1XL5vhW3sbDhbH9Cz0tuDiY8C3ctxq1tqvaCgkFb8cCA/edit#gid=346597447"",""อุดรธานี!J554"")"),0)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IFERROR(__xludf.DUMMYFUNCTION("IMPORTRANGE(""https://docs.google.com/spreadsheets/d/1XL5vhW3sbDhbH9Cz0tuDiY8C3ctxq1tqvaCgkFb8cCA/edit#gid=346597447"",""อุดรธานี!J555"")"),0)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IFERROR(__xludf.DUMMYFUNCTION("IMPORTRANGE(""https://docs.google.com/spreadsheets/d/1XL5vhW3sbDhbH9Cz0tuDiY8C3ctxq1tqvaCgkFb8cCA/edit#gid=346597447"",""อุดรธานี!J556"")"),0)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IFERROR(__xludf.DUMMYFUNCTION("IMPORTRANGE(""https://docs.google.com/spreadsheets/d/1XL5vhW3sbDhbH9Cz0tuDiY8C3ctxq1tqvaCgkFb8cCA/edit#gid=346597447"",""อุดรธานี!L556"")"),3640)</f>
        <v>3640</v>
      </c>
      <c r="M661" s="521"/>
      <c r="N661" s="536">
        <f ca="1">IFERROR(__xludf.DUMMYFUNCTION("IMPORTRANGE(""https://docs.google.com/spreadsheets/d/1XL5vhW3sbDhbH9Cz0tuDiY8C3ctxq1tqvaCgkFb8cCA/edit#gid=346597447"",""อุดรธานี!M556"")"),0)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IFERROR(__xludf.DUMMYFUNCTION("IMPORTRANGE(""https://docs.google.com/spreadsheets/d/1XL5vhW3sbDhbH9Cz0tuDiY8C3ctxq1tqvaCgkFb8cCA/edit#gid=346597447"",""อุดรธานี!J557"")"),0)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IFERROR(__xludf.DUMMYFUNCTION("IMPORTRANGE(""https://docs.google.com/spreadsheets/d/1XL5vhW3sbDhbH9Cz0tuDiY8C3ctxq1tqvaCgkFb8cCA/edit#gid=346597447"",""อุดรธานี!I558"")"),91)</f>
        <v>91</v>
      </c>
      <c r="J663" s="534">
        <f ca="1">IFERROR(__xludf.DUMMYFUNCTION("IMPORTRANGE(""https://docs.google.com/spreadsheets/d/1XL5vhW3sbDhbH9Cz0tuDiY8C3ctxq1tqvaCgkFb8cCA/edit#gid=346597447"",""อุดรธานี!J558"")"),0)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IFERROR(__xludf.DUMMYFUNCTION("IMPORTRANGE(""https://docs.google.com/spreadsheets/d/1XL5vhW3sbDhbH9Cz0tuDiY8C3ctxq1tqvaCgkFb8cCA/edit#gid=346597447"",""อุดรธานี!I560"")"),0)</f>
        <v>0</v>
      </c>
      <c r="J665" s="534">
        <f ca="1">IFERROR(__xludf.DUMMYFUNCTION("IMPORTRANGE(""https://docs.google.com/spreadsheets/d/1XL5vhW3sbDhbH9Cz0tuDiY8C3ctxq1tqvaCgkFb8cCA/edit#gid=346597447"",""อุดรธานี!J560"")"),0)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IFERROR(__xludf.DUMMYFUNCTION("IMPORTRANGE(""https://docs.google.com/spreadsheets/d/1XL5vhW3sbDhbH9Cz0tuDiY8C3ctxq1tqvaCgkFb8cCA/edit#gid=346597447"",""อุดรธานี!L560"")"),0)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IFERROR(__xludf.DUMMYFUNCTION("IMPORTRANGE(""https://docs.google.com/spreadsheets/d/1XL5vhW3sbDhbH9Cz0tuDiY8C3ctxq1tqvaCgkFb8cCA/edit#gid=346597447"",""อุดรธานี!M560"")"),0)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IFERROR(__xludf.DUMMYFUNCTION("IMPORTRANGE(""https://docs.google.com/spreadsheets/d/1XL5vhW3sbDhbH9Cz0tuDiY8C3ctxq1tqvaCgkFb8cCA/edit#gid=346597447"",""อุดรธานี!J561"")"),0)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IFERROR(__xludf.DUMMYFUNCTION("IMPORTRANGE(""https://docs.google.com/spreadsheets/d/1XL5vhW3sbDhbH9Cz0tuDiY8C3ctxq1tqvaCgkFb8cCA/edit#gid=346597447"",""อุดรธานี!J562"")"),0)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IFERROR(__xludf.DUMMYFUNCTION("IMPORTRANGE(""https://docs.google.com/spreadsheets/d/1XL5vhW3sbDhbH9Cz0tuDiY8C3ctxq1tqvaCgkFb8cCA/edit#gid=346597447"",""อุดรธานี!I563"")"),0)</f>
        <v>0</v>
      </c>
      <c r="J668" s="534">
        <f ca="1">IFERROR(__xludf.DUMMYFUNCTION("IMPORTRANGE(""https://docs.google.com/spreadsheets/d/1XL5vhW3sbDhbH9Cz0tuDiY8C3ctxq1tqvaCgkFb8cCA/edit#gid=346597447"",""อุดรธานี!J563"")"),0)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IFERROR(__xludf.DUMMYFUNCTION("IMPORTRANGE(""https://docs.google.com/spreadsheets/d/1XL5vhW3sbDhbH9Cz0tuDiY8C3ctxq1tqvaCgkFb8cCA/edit#gid=346597447"",""อุดรธานี!L563"")"),0)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IFERROR(__xludf.DUMMYFUNCTION("IMPORTRANGE(""https://docs.google.com/spreadsheets/d/1XL5vhW3sbDhbH9Cz0tuDiY8C3ctxq1tqvaCgkFb8cCA/edit#gid=346597447"",""อุดรธานี!M563"")"),0)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IFERROR(__xludf.DUMMYFUNCTION("IMPORTRANGE(""https://docs.google.com/spreadsheets/d/1XL5vhW3sbDhbH9Cz0tuDiY8C3ctxq1tqvaCgkFb8cCA/edit#gid=346597447"",""อุดรธานี!J564"")"),0)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IFERROR(__xludf.DUMMYFUNCTION("IMPORTRANGE(""https://docs.google.com/spreadsheets/d/1XL5vhW3sbDhbH9Cz0tuDiY8C3ctxq1tqvaCgkFb8cCA/edit#gid=346597447"",""อุดรธานี!J565"")"),0)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IFERROR(__xludf.DUMMYFUNCTION("IMPORTRANGE(""https://docs.google.com/spreadsheets/d/1XL5vhW3sbDhbH9Cz0tuDiY8C3ctxq1tqvaCgkFb8cCA/edit#gid=346597447"",""อุดรธานี!I566"")"),572)</f>
        <v>572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IFERROR(__xludf.DUMMYFUNCTION("IMPORTRANGE(""https://docs.google.com/spreadsheets/d/1XL5vhW3sbDhbH9Cz0tuDiY8C3ctxq1tqvaCgkFb8cCA/edit#gid=346597447"",""อุดรธานี!L566"")"),45760)</f>
        <v>45760</v>
      </c>
      <c r="M671" s="521"/>
      <c r="N671" s="536">
        <f ca="1">IFERROR(__xludf.DUMMYFUNCTION("IMPORTRANGE(""https://docs.google.com/spreadsheets/d/1XL5vhW3sbDhbH9Cz0tuDiY8C3ctxq1tqvaCgkFb8cCA/edit#gid=346597447"",""อุดรธานี!M566"")"),0)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IFERROR(__xludf.DUMMYFUNCTION("IMPORTRANGE(""https://docs.google.com/spreadsheets/d/1XL5vhW3sbDhbH9Cz0tuDiY8C3ctxq1tqvaCgkFb8cCA/edit#gid=346597447"",""อุดรธานี!J567"")"),0)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IFERROR(__xludf.DUMMYFUNCTION("IMPORTRANGE(""https://docs.google.com/spreadsheets/d/1XL5vhW3sbDhbH9Cz0tuDiY8C3ctxq1tqvaCgkFb8cCA/edit#gid=346597447"",""อุดรธานี!J568"")"),0)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IFERROR(__xludf.DUMMYFUNCTION("IMPORTRANGE(""https://docs.google.com/spreadsheets/d/1XL5vhW3sbDhbH9Cz0tuDiY8C3ctxq1tqvaCgkFb8cCA/edit#gid=346597447"",""อุดรธานี!J569"")"),0)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IFERROR(__xludf.DUMMYFUNCTION("IMPORTRANGE(""https://docs.google.com/spreadsheets/d/1XL5vhW3sbDhbH9Cz0tuDiY8C3ctxq1tqvaCgkFb8cCA/edit#gid=346597447"",""อุดรธานี!J570"")"),0)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IFERROR(__xludf.DUMMYFUNCTION("IMPORTRANGE(""https://docs.google.com/spreadsheets/d/1XL5vhW3sbDhbH9Cz0tuDiY8C3ctxq1tqvaCgkFb8cCA/edit#gid=346597447"",""อุดรธานี!J571"")"),0)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IFERROR(__xludf.DUMMYFUNCTION("IMPORTRANGE(""https://docs.google.com/spreadsheets/d/1XL5vhW3sbDhbH9Cz0tuDiY8C3ctxq1tqvaCgkFb8cCA/edit#gid=346597447"",""อุดรธานี!J572"")"),0)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8842570</v>
      </c>
      <c r="M8" s="23">
        <f t="shared" ca="1" si="0"/>
        <v>5692259.21</v>
      </c>
      <c r="N8" s="23">
        <f t="shared" ca="1" si="0"/>
        <v>8379804.9499999993</v>
      </c>
      <c r="O8" s="22">
        <f t="shared" ref="O8:O16" ca="1" si="1">IF(L8&gt;0,N8*100/L8,0)</f>
        <v>94.766622712627651</v>
      </c>
      <c r="P8" s="22">
        <f t="shared" ref="P8:P16" ca="1" si="2">IF(M8&gt;0,N8*100/M8,0)</f>
        <v>147.21404350804326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8842570</v>
      </c>
      <c r="M10" s="30">
        <f t="shared" ca="1" si="4"/>
        <v>5692259.21</v>
      </c>
      <c r="N10" s="30">
        <f t="shared" ca="1" si="4"/>
        <v>8379804.9499999993</v>
      </c>
      <c r="O10" s="29">
        <f t="shared" ca="1" si="1"/>
        <v>94.766622712627651</v>
      </c>
      <c r="P10" s="29">
        <f t="shared" ca="1" si="2"/>
        <v>147.21404350804326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7974570</v>
      </c>
      <c r="M12" s="38">
        <f t="shared" ca="1" si="6"/>
        <v>4824259.21</v>
      </c>
      <c r="N12" s="38">
        <f t="shared" ca="1" si="6"/>
        <v>7524849.9499999993</v>
      </c>
      <c r="O12" s="38">
        <f t="shared" ca="1" si="1"/>
        <v>94.360573046571773</v>
      </c>
      <c r="P12" s="38">
        <f t="shared" ca="1" si="2"/>
        <v>155.97938714408338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5590270</v>
      </c>
      <c r="M14" s="38">
        <f t="shared" si="8"/>
        <v>0</v>
      </c>
      <c r="N14" s="38">
        <f t="shared" ca="1" si="8"/>
        <v>3082037.5500000003</v>
      </c>
      <c r="O14" s="38">
        <f t="shared" ca="1" si="1"/>
        <v>55.132176978929465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868000</v>
      </c>
      <c r="M16" s="38">
        <f t="shared" ca="1" si="10"/>
        <v>868000</v>
      </c>
      <c r="N16" s="38">
        <f t="shared" ca="1" si="10"/>
        <v>854955</v>
      </c>
      <c r="O16" s="49">
        <f t="shared" ca="1" si="1"/>
        <v>98.497119815668199</v>
      </c>
      <c r="P16" s="49">
        <f t="shared" ca="1" si="2"/>
        <v>98.497119815668199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5441225</v>
      </c>
      <c r="M18" s="23">
        <f t="shared" ca="1" si="11"/>
        <v>5692259.21</v>
      </c>
      <c r="N18" s="23">
        <f t="shared" ca="1" si="11"/>
        <v>5297767.3999999994</v>
      </c>
      <c r="O18" s="22">
        <f t="shared" ref="O18:O20" ca="1" si="12">IF(L18&gt;0,N18*100/L18,0)</f>
        <v>97.363505460626968</v>
      </c>
      <c r="P18" s="22">
        <f t="shared" ref="P18:P26" ca="1" si="13">IF(M18&gt;0,N18*100/M18,0)</f>
        <v>93.069679446308967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5441225</v>
      </c>
      <c r="M20" s="30">
        <f t="shared" ca="1" si="15"/>
        <v>5692259.21</v>
      </c>
      <c r="N20" s="30">
        <f t="shared" ca="1" si="15"/>
        <v>5297767.3999999994</v>
      </c>
      <c r="O20" s="29">
        <f t="shared" ca="1" si="12"/>
        <v>97.363505460626968</v>
      </c>
      <c r="P20" s="29">
        <f t="shared" ca="1" si="13"/>
        <v>93.069679446308967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4573225</v>
      </c>
      <c r="M22" s="41">
        <f t="shared" ca="1" si="18"/>
        <v>4824259.21</v>
      </c>
      <c r="N22" s="38">
        <f t="shared" ca="1" si="18"/>
        <v>4442812.3999999994</v>
      </c>
      <c r="O22" s="38">
        <f t="shared" ca="1" si="17"/>
        <v>97.148344986306157</v>
      </c>
      <c r="P22" s="38">
        <f t="shared" ca="1" si="13"/>
        <v>92.09315268115536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2188925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868000</v>
      </c>
      <c r="M26" s="49">
        <f t="shared" ca="1" si="22"/>
        <v>868000</v>
      </c>
      <c r="N26" s="49">
        <f t="shared" ca="1" si="22"/>
        <v>854955</v>
      </c>
      <c r="O26" s="49">
        <f t="shared" ca="1" si="17"/>
        <v>98.497119815668199</v>
      </c>
      <c r="P26" s="49">
        <f t="shared" ca="1" si="13"/>
        <v>98.497119815668199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3401345</v>
      </c>
      <c r="M28" s="23">
        <f t="shared" si="23"/>
        <v>0</v>
      </c>
      <c r="N28" s="23">
        <f t="shared" ca="1" si="23"/>
        <v>3082037.5500000003</v>
      </c>
      <c r="O28" s="22">
        <f t="shared" ref="O28:O30" ca="1" si="24">IF(L28&gt;0,N28*100/L28,0)</f>
        <v>90.612318068293575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3401345</v>
      </c>
      <c r="M30" s="30">
        <f t="shared" si="27"/>
        <v>0</v>
      </c>
      <c r="N30" s="30">
        <f t="shared" ca="1" si="27"/>
        <v>3082037.5500000003</v>
      </c>
      <c r="O30" s="29">
        <f t="shared" ca="1" si="24"/>
        <v>90.612318068293575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3401345</v>
      </c>
      <c r="M32" s="38">
        <f t="shared" si="30"/>
        <v>0</v>
      </c>
      <c r="N32" s="38">
        <f t="shared" ca="1" si="30"/>
        <v>3082037.5500000003</v>
      </c>
      <c r="O32" s="38">
        <f t="shared" ca="1" si="29"/>
        <v>90.612318068293575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3401345</v>
      </c>
      <c r="M34" s="38">
        <f t="shared" si="32"/>
        <v>0</v>
      </c>
      <c r="N34" s="38">
        <f t="shared" ca="1" si="32"/>
        <v>3082037.5500000003</v>
      </c>
      <c r="O34" s="38">
        <f t="shared" ca="1" si="29"/>
        <v>90.612318068293575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5441225</v>
      </c>
      <c r="M37" s="54">
        <f t="shared" ca="1" si="33"/>
        <v>5692259.21</v>
      </c>
      <c r="N37" s="54">
        <f t="shared" ca="1" si="33"/>
        <v>5297767.3999999994</v>
      </c>
      <c r="O37" s="55">
        <f t="shared" ca="1" si="29"/>
        <v>97.363505460626968</v>
      </c>
      <c r="P37" s="55">
        <f t="shared" ca="1" si="25"/>
        <v>93.069679446308967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1730100</v>
      </c>
      <c r="M41" s="78">
        <f t="shared" ca="1" si="34"/>
        <v>1730100</v>
      </c>
      <c r="N41" s="78">
        <f t="shared" ca="1" si="34"/>
        <v>1651943.08</v>
      </c>
      <c r="O41" s="77">
        <f t="shared" ref="O41:O43" ca="1" si="35">IF(L41&gt;0,N41*100/L41,0)</f>
        <v>95.482520085544195</v>
      </c>
      <c r="P41" s="77">
        <f t="shared" ref="P41:P43" ca="1" si="36">IF(M41&gt;0,N41*100/M41,0)</f>
        <v>95.482520085544195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1730100</v>
      </c>
      <c r="M43" s="78">
        <f t="shared" ca="1" si="38"/>
        <v>1730100</v>
      </c>
      <c r="N43" s="78">
        <f t="shared" ca="1" si="38"/>
        <v>1651943.08</v>
      </c>
      <c r="O43" s="77">
        <f t="shared" ca="1" si="35"/>
        <v>95.482520085544195</v>
      </c>
      <c r="P43" s="77">
        <f t="shared" ca="1" si="36"/>
        <v>95.482520085544195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IFERROR(__xludf.DUMMYFUNCTION("IMPORTRANGE(""https://docs.google.com/spreadsheets/d/1Yj_ptqi66GCucihVvJfMjLAmec39IyEx_6qawtMGysU/edit?usp=sharing"",""สบก!Q57"")"),954100)</f>
        <v>954100</v>
      </c>
      <c r="N45" s="49">
        <f ca="1">IFERROR(__xludf.DUMMYFUNCTION("IMPORTRANGE(""https://docs.google.com/spreadsheets/d/1Yj_ptqi66GCucihVvJfMjLAmec39IyEx_6qawtMGysU/edit?usp=sharing"",""สบก!R57"")"),888988.08)</f>
        <v>888988.08</v>
      </c>
      <c r="O45" s="38">
        <f ca="1">IF(L45&gt;0,N45*100/L45,0)</f>
        <v>93.175566502463056</v>
      </c>
      <c r="P45" s="38">
        <f ca="1">IF(M45&gt;0,N45*100/M45,0)</f>
        <v>93.175566502463056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IFERROR(__xludf.DUMMYFUNCTION("IMPORTRANGE(""https://docs.google.com/spreadsheets/d/1Yj_ptqi66GCucihVvJfMjLAmec39IyEx_6qawtMGysU/edit?usp=sharing"",""สบก!O57"")"),776000)</f>
        <v>776000</v>
      </c>
      <c r="M49" s="49">
        <f ca="1">L49</f>
        <v>776000</v>
      </c>
      <c r="N49" s="49">
        <f ca="1">IFERROR(__xludf.DUMMYFUNCTION("IMPORTRANGE(""https://docs.google.com/spreadsheets/d/1Yj_ptqi66GCucihVvJfMjLAmec39IyEx_6qawtMGysU/edit?usp=sharing"",""สบก!S57"")"),762955)</f>
        <v>762955</v>
      </c>
      <c r="O49" s="49">
        <f ca="1">IF(L49&gt;0,N49*100/L49,0)</f>
        <v>98.318943298969074</v>
      </c>
      <c r="P49" s="49">
        <f ca="1">IF(M49&gt;0,N49*100/M49,0)</f>
        <v>98.318943298969074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505254.21</v>
      </c>
      <c r="N53" s="121">
        <f t="shared" ca="1" si="39"/>
        <v>496318.97</v>
      </c>
      <c r="O53" s="120">
        <f t="shared" ref="O53:O55" ca="1" si="40">IF(L53&gt;0,N53*100/L53,0)</f>
        <v>107.70810980902777</v>
      </c>
      <c r="P53" s="120">
        <f t="shared" ref="P53:P55" ca="1" si="41">IF(M53&gt;0,N53*100/M53,0)</f>
        <v>98.231535764937021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505254.21</v>
      </c>
      <c r="N55" s="121">
        <f t="shared" ca="1" si="43"/>
        <v>496318.97</v>
      </c>
      <c r="O55" s="120">
        <f t="shared" ca="1" si="40"/>
        <v>107.70810980902777</v>
      </c>
      <c r="P55" s="120">
        <f t="shared" ca="1" si="41"/>
        <v>98.231535764937021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IFERROR(__xludf.DUMMYFUNCTION("IMPORTRANGE(""https://docs.google.com/spreadsheets/d/1Yj_ptqi66GCucihVvJfMjLAmec39IyEx_6qawtMGysU/edit?usp=sharing"",""สบก!Z57"")"),505254.21)</f>
        <v>505254.21</v>
      </c>
      <c r="N57" s="49">
        <f ca="1">IFERROR(__xludf.DUMMYFUNCTION("IMPORTRANGE(""https://docs.google.com/spreadsheets/d/1Yj_ptqi66GCucihVvJfMjLAmec39IyEx_6qawtMGysU/edit?usp=sharing"",""สบก!AA57"")"),496318.97)</f>
        <v>496318.97</v>
      </c>
      <c r="O57" s="38">
        <f ca="1">IF(L57&gt;0,N57*100/L57,0)</f>
        <v>107.70810980902777</v>
      </c>
      <c r="P57" s="38">
        <f ca="1">IF(M57&gt;0,N57*100/M57,0)</f>
        <v>98.231535764937021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209504.3</v>
      </c>
      <c r="O94" s="151">
        <f t="shared" ref="O94:O96" ca="1" si="53">IF(L94&gt;0,N94*100/L94,0)</f>
        <v>97.853479682391409</v>
      </c>
      <c r="P94" s="151">
        <f t="shared" ref="P94:P96" ca="1" si="54">IF(M94&gt;0,N94*100/M94,0)</f>
        <v>97.853479682391409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209504.3</v>
      </c>
      <c r="O96" s="156">
        <f t="shared" ca="1" si="53"/>
        <v>97.853479682391409</v>
      </c>
      <c r="P96" s="156">
        <f t="shared" ca="1" si="54"/>
        <v>97.853479682391409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IFERROR(__xludf.DUMMYFUNCTION("IMPORTRANGE(""https://docs.google.com/spreadsheets/d/1Yj_ptqi66GCucihVvJfMjLAmec39IyEx_6qawtMGysU/edit?usp=sharing"",""สบก!AR57"")"),122100)</f>
        <v>122100</v>
      </c>
      <c r="N98" s="169">
        <f ca="1">IFERROR(__xludf.DUMMYFUNCTION("IMPORTRANGE(""https://docs.google.com/spreadsheets/d/1Yj_ptqi66GCucihVvJfMjLAmec39IyEx_6qawtMGysU/edit?usp=sharing"",""สบก!AS57"")"),117504.3)</f>
        <v>117504.3</v>
      </c>
      <c r="O98" s="169">
        <f ca="1">IF(L98&gt;0,N98*100/L98,0)</f>
        <v>96.236117936117935</v>
      </c>
      <c r="P98" s="169">
        <f ca="1">IF(M98&gt;0,N98*100/M98,0)</f>
        <v>96.236117936117935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912850</v>
      </c>
      <c r="M140" s="152">
        <f t="shared" ca="1" si="64"/>
        <v>920850</v>
      </c>
      <c r="N140" s="152">
        <f t="shared" ca="1" si="64"/>
        <v>882266.1</v>
      </c>
      <c r="O140" s="151">
        <f t="shared" ref="O140:O142" ca="1" si="65">IF(L140&gt;0,N140*100/L140,0)</f>
        <v>96.649624801446024</v>
      </c>
      <c r="P140" s="151">
        <f t="shared" ref="P140:P142" ca="1" si="66">IF(M140&gt;0,N140*100/M140,0)</f>
        <v>95.809969050333933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912850</v>
      </c>
      <c r="M142" s="157">
        <f t="shared" ca="1" si="68"/>
        <v>920850</v>
      </c>
      <c r="N142" s="157">
        <f t="shared" ca="1" si="68"/>
        <v>882266.1</v>
      </c>
      <c r="O142" s="156">
        <f t="shared" ca="1" si="65"/>
        <v>96.649624801446024</v>
      </c>
      <c r="P142" s="156">
        <f t="shared" ca="1" si="66"/>
        <v>95.809969050333933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912850</v>
      </c>
      <c r="M144" s="168">
        <f ca="1">IFERROR(__xludf.DUMMYFUNCTION("IMPORTRANGE(""https://docs.google.com/spreadsheets/d/1Yj_ptqi66GCucihVvJfMjLAmec39IyEx_6qawtMGysU/edit?usp=sharing"",""สบก!BJ57"")"),920850)</f>
        <v>920850</v>
      </c>
      <c r="N144" s="169">
        <f ca="1">IFERROR(__xludf.DUMMYFUNCTION("IMPORTRANGE(""https://docs.google.com/spreadsheets/d/1Yj_ptqi66GCucihVvJfMjLAmec39IyEx_6qawtMGysU/edit?usp=sharing"",""สบก!BK57"")"),882266.1)</f>
        <v>882266.1</v>
      </c>
      <c r="O144" s="169">
        <f ca="1">IF(L144&gt;0,N144*100/L144,0)</f>
        <v>96.649624801446024</v>
      </c>
      <c r="P144" s="169">
        <f ca="1">IF(M144&gt;0,N144*100/M144,0)</f>
        <v>95.809969050333933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IFERROR(__xludf.DUMMYFUNCTION("IMPORTRANGE(""https://docs.google.com/spreadsheets/d/1Yj_ptqi66GCucihVvJfMjLAmec39IyEx_6qawtMGysU/edit?usp=sharing"",""สบก!BG57"")"),443850)</f>
        <v>443850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IFERROR(__xludf.DUMMYFUNCTION("IMPORTRANGE(""https://docs.google.com/spreadsheets/d/1XL5vhW3sbDhbH9Cz0tuDiY8C3ctxq1tqvaCgkFb8cCA/edit?usp=sharing"",""อุบลราชธานี!J84"")"),312)</f>
        <v>312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IFERROR(__xludf.DUMMYFUNCTION("IMPORTRANGE(""https://docs.google.com/spreadsheets/d/1XL5vhW3sbDhbH9Cz0tuDiY8C3ctxq1tqvaCgkFb8cCA/edit?usp=sharing"",""อุบลราชธานี!J85"")"),312)</f>
        <v>312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IFERROR(__xludf.DUMMYFUNCTION("IMPORTRANGE(""https://docs.google.com/spreadsheets/d/1XL5vhW3sbDhbH9Cz0tuDiY8C3ctxq1tqvaCgkFb8cCA/edit?usp=sharing"",""อุบลราชธานี!I89"")"),4)</f>
        <v>4</v>
      </c>
      <c r="J164" s="285">
        <f ca="1">IFERROR(__xludf.DUMMYFUNCTION("IMPORTRANGE(""https://docs.google.com/spreadsheets/d/1XL5vhW3sbDhbH9Cz0tuDiY8C3ctxq1tqvaCgkFb8cCA/edit?usp=sharing"",""อุบลราชธานี!J89"")"),4)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IFERROR(__xludf.DUMMYFUNCTION("IMPORTRANGE(""https://docs.google.com/spreadsheets/d/1XL5vhW3sbDhbH9Cz0tuDiY8C3ctxq1tqvaCgkFb8cCA/edit?usp=sharing"",""อุบลราชธานี!I101"")"),2)</f>
        <v>2</v>
      </c>
      <c r="J176" s="285">
        <f ca="1">IFERROR(__xludf.DUMMYFUNCTION("IMPORTRANGE(""https://docs.google.com/spreadsheets/d/1XL5vhW3sbDhbH9Cz0tuDiY8C3ctxq1tqvaCgkFb8cCA/edit?usp=sharing"",""อุบลราชธานี!J101"")"),2)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IFERROR(__xludf.DUMMYFUNCTION("IMPORTRANGE(""https://docs.google.com/spreadsheets/d/1XL5vhW3sbDhbH9Cz0tuDiY8C3ctxq1tqvaCgkFb8cCA/edit?usp=sharing"",""อุบลราชธานี!J113"")"),1)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5">
        <f ca="1">IFERROR(__xludf.DUMMYFUNCTION("IMPORTRANGE(""https://docs.google.com/spreadsheets/d/1XL5vhW3sbDhbH9Cz0tuDiY8C3ctxq1tqvaCgkFb8cCA/edit?usp=sharing"",""อุบลราชธานี!J114"")"),30000)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IFERROR(__xludf.DUMMYFUNCTION("IMPORTRANGE(""https://docs.google.com/spreadsheets/d/1XL5vhW3sbDhbH9Cz0tuDiY8C3ctxq1tqvaCgkFb8cCA/edit?usp=sharing"",""อุบลราชธานี!J128"")"),1)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IFERROR(__xludf.DUMMYFUNCTION("IMPORTRANGE(""https://docs.google.com/spreadsheets/d/1XL5vhW3sbDhbH9Cz0tuDiY8C3ctxq1tqvaCgkFb8cCA/edit?usp=sharing"",""อุบลราชธานี!I129"")"),50)</f>
        <v>50</v>
      </c>
      <c r="J204" s="285">
        <f ca="1">IFERROR(__xludf.DUMMYFUNCTION("IMPORTRANGE(""https://docs.google.com/spreadsheets/d/1XL5vhW3sbDhbH9Cz0tuDiY8C3ctxq1tqvaCgkFb8cCA/edit?usp=sharing"",""อุบลราชธานี!J129"")"),50)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IFERROR(__xludf.DUMMYFUNCTION("IMPORTRANGE(""https://docs.google.com/spreadsheets/d/1Yj_ptqi66GCucihVvJfMjLAmec39IyEx_6qawtMGysU/edit?usp=sharing"",""สบก!BS57"")"),21125)</f>
        <v>21125</v>
      </c>
      <c r="N224" s="169">
        <f ca="1">IFERROR(__xludf.DUMMYFUNCTION("IMPORTRANGE(""https://docs.google.com/spreadsheets/d/1Yj_ptqi66GCucihVvJfMjLAmec39IyEx_6qawtMGysU/edit?usp=sharing"",""สบก!BT57"")"),21125)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IFERROR(__xludf.DUMMYFUNCTION("IMPORTRANGE(""https://docs.google.com/spreadsheets/d/1XL5vhW3sbDhbH9Cz0tuDiY8C3ctxq1tqvaCgkFb8cCA/edit?usp=sharing"",""อุบลราชธานี!I169"")"),25)</f>
        <v>25</v>
      </c>
      <c r="J249" s="317">
        <f ca="1">IFERROR(__xludf.DUMMYFUNCTION("IMPORTRANGE(""https://docs.google.com/spreadsheets/d/1XL5vhW3sbDhbH9Cz0tuDiY8C3ctxq1tqvaCgkFb8cCA/edit?usp=sharing"",""อุบลราชธานี!J169"")"),25)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IFERROR(__xludf.DUMMYFUNCTION("IMPORTRANGE(""https://docs.google.com/spreadsheets/d/1Yj_ptqi66GCucihVvJfMjLAmec39IyEx_6qawtMGysU/edit?usp=sharing"",""สบก!CB57"")"),89000)</f>
        <v>89000</v>
      </c>
      <c r="N254" s="169">
        <f ca="1">IFERROR(__xludf.DUMMYFUNCTION("IMPORTRANGE(""https://docs.google.com/spreadsheets/d/1Yj_ptqi66GCucihVvJfMjLAmec39IyEx_6qawtMGysU/edit?usp=sharing"",""สบก!CC57"")"),89000)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IFERROR(__xludf.DUMMYFUNCTION("IMPORTRANGE(""https://docs.google.com/spreadsheets/d/1XL5vhW3sbDhbH9Cz0tuDiY8C3ctxq1tqvaCgkFb8cCA/edit?usp=sharing"",""อุบลราชธานี!J184"")"),0)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IFERROR(__xludf.DUMMYFUNCTION("IMPORTRANGE(""https://docs.google.com/spreadsheets/d/1XL5vhW3sbDhbH9Cz0tuDiY8C3ctxq1tqvaCgkFb8cCA/edit?usp=sharing"",""อุบลราชธานี!I185"")"),20)</f>
        <v>20</v>
      </c>
      <c r="J270" s="317">
        <f ca="1">IFERROR(__xludf.DUMMYFUNCTION("IMPORTRANGE(""https://docs.google.com/spreadsheets/d/1XL5vhW3sbDhbH9Cz0tuDiY8C3ctxq1tqvaCgkFb8cCA/edit?usp=sharing"",""อุบลราชธานี!J185"")"),20)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199380</v>
      </c>
      <c r="N271" s="152">
        <f t="shared" ca="1" si="83"/>
        <v>174186.3</v>
      </c>
      <c r="O271" s="151">
        <f t="shared" ref="O271:O273" ca="1" si="84">IF(L271&gt;0,N271*100/L271,0)</f>
        <v>94.872712418300651</v>
      </c>
      <c r="P271" s="151">
        <f t="shared" ref="P271:P273" ca="1" si="85">IF(M271&gt;0,N271*100/M271,0)</f>
        <v>87.363978332831778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199380</v>
      </c>
      <c r="N273" s="157">
        <f t="shared" ca="1" si="87"/>
        <v>174186.3</v>
      </c>
      <c r="O273" s="156">
        <f t="shared" ca="1" si="84"/>
        <v>94.872712418300651</v>
      </c>
      <c r="P273" s="156">
        <f t="shared" ca="1" si="85"/>
        <v>87.363978332831778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IFERROR(__xludf.DUMMYFUNCTION("IMPORTRANGE(""https://docs.google.com/spreadsheets/d/1Yj_ptqi66GCucihVvJfMjLAmec39IyEx_6qawtMGysU/edit?usp=sharing"",""สบก!CK57"")"),199380)</f>
        <v>199380</v>
      </c>
      <c r="N275" s="169">
        <f ca="1">IFERROR(__xludf.DUMMYFUNCTION("IMPORTRANGE(""https://docs.google.com/spreadsheets/d/1Yj_ptqi66GCucihVvJfMjLAmec39IyEx_6qawtMGysU/edit?usp=sharing"",""สบก!CL57"")"),174186.3)</f>
        <v>174186.3</v>
      </c>
      <c r="O275" s="169">
        <f ca="1">IF(L275&gt;0,N275*100/L275,0)</f>
        <v>94.872712418300651</v>
      </c>
      <c r="P275" s="169">
        <f ca="1">IF(M275&gt;0,N275*100/M275,0)</f>
        <v>87.363978332831778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IFERROR(__xludf.DUMMYFUNCTION("IMPORTRANGE(""https://docs.google.com/spreadsheets/d/1XL5vhW3sbDhbH9Cz0tuDiY8C3ctxq1tqvaCgkFb8cCA/edit?usp=sharing"",""อุบลราชธานี!J197"")"),0)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IFERROR(__xludf.DUMMYFUNCTION("IMPORTRANGE(""https://docs.google.com/spreadsheets/d/1XL5vhW3sbDhbH9Cz0tuDiY8C3ctxq1tqvaCgkFb8cCA/edit?usp=sharing"",""อุบลราชธานี!I199"")"),0)</f>
        <v>0</v>
      </c>
      <c r="J289" s="317">
        <f ca="1">IFERROR(__xludf.DUMMYFUNCTION("IMPORTRANGE(""https://docs.google.com/spreadsheets/d/1XL5vhW3sbDhbH9Cz0tuDiY8C3ctxq1tqvaCgkFb8cCA/edit?usp=sharing"",""อุบลราชธานี!J199"")"),0)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IFERROR(__xludf.DUMMYFUNCTION("IMPORTRANGE(""https://docs.google.com/spreadsheets/d/1XL5vhW3sbDhbH9Cz0tuDiY8C3ctxq1tqvaCgkFb8cCA/edit?usp=sharing"",""อุบลราชธานี!I214"")"),0)</f>
        <v>0</v>
      </c>
      <c r="J309" s="334">
        <f ca="1">IFERROR(__xludf.DUMMYFUNCTION("IMPORTRANGE(""https://docs.google.com/spreadsheets/d/1XL5vhW3sbDhbH9Cz0tuDiY8C3ctxq1tqvaCgkFb8cCA/edit?usp=sharing"",""อุบลราชธานี!J214"")"),0)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IFERROR(__xludf.DUMMYFUNCTION("IMPORTRANGE(""https://docs.google.com/spreadsheets/d/1XL5vhW3sbDhbH9Cz0tuDiY8C3ctxq1tqvaCgkFb8cCA/edit?usp=sharing"",""อุบลราชธานี!I228"")"),1120)</f>
        <v>1120</v>
      </c>
      <c r="J328" s="340">
        <f ca="1">IFERROR(__xludf.DUMMYFUNCTION("IMPORTRANGE(""https://docs.google.com/spreadsheets/d/1XL5vhW3sbDhbH9Cz0tuDiY8C3ctxq1tqvaCgkFb8cCA/edit?usp=sharing"",""อุบลราชธานี!J228"")"),926)</f>
        <v>926</v>
      </c>
      <c r="K328" s="318">
        <f ca="1">IF(I328&gt;0,J328*100/I328,0)</f>
        <v>82.678571428571431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1829650</v>
      </c>
      <c r="M329" s="152">
        <f t="shared" ca="1" si="98"/>
        <v>2012450</v>
      </c>
      <c r="N329" s="152">
        <f t="shared" ca="1" si="98"/>
        <v>1773423.65</v>
      </c>
      <c r="O329" s="151">
        <f t="shared" ref="O329:O331" ca="1" si="99">IF(L329&gt;0,N329*100/L329,0)</f>
        <v>96.926934113081742</v>
      </c>
      <c r="P329" s="151">
        <f t="shared" ref="P329:P331" ca="1" si="100">IF(M329&gt;0,N329*100/M329,0)</f>
        <v>88.122619195507966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1829650</v>
      </c>
      <c r="M331" s="157">
        <f t="shared" ca="1" si="102"/>
        <v>2012450</v>
      </c>
      <c r="N331" s="157">
        <f t="shared" ca="1" si="102"/>
        <v>1773423.65</v>
      </c>
      <c r="O331" s="156">
        <f t="shared" ca="1" si="99"/>
        <v>96.926934113081742</v>
      </c>
      <c r="P331" s="156">
        <f t="shared" ca="1" si="100"/>
        <v>88.122619195507966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1829650</v>
      </c>
      <c r="M333" s="168">
        <f ca="1">IFERROR(__xludf.DUMMYFUNCTION("IMPORTRANGE(""https://docs.google.com/spreadsheets/d/1Yj_ptqi66GCucihVvJfMjLAmec39IyEx_6qawtMGysU/edit?usp=sharing"",""สบก!DL57"")"),2012450)</f>
        <v>2012450</v>
      </c>
      <c r="N333" s="169">
        <f ca="1">IFERROR(__xludf.DUMMYFUNCTION("IMPORTRANGE(""https://docs.google.com/spreadsheets/d/1Yj_ptqi66GCucihVvJfMjLAmec39IyEx_6qawtMGysU/edit?usp=sharing"",""สบก!DM57"")"),1773423.65)</f>
        <v>1773423.65</v>
      </c>
      <c r="O333" s="169">
        <f ca="1">IF(L333&gt;0,N333*100/L333,0)</f>
        <v>96.926934113081742</v>
      </c>
      <c r="P333" s="169">
        <f ca="1">IF(M333&gt;0,N333*100/M333,0)</f>
        <v>88.122619195507966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IFERROR(__xludf.DUMMYFUNCTION("IMPORTRANGE(""https://docs.google.com/spreadsheets/d/1Yj_ptqi66GCucihVvJfMjLAmec39IyEx_6qawtMGysU/edit?usp=sharing"",""สบก!DI57"")"),1329250)</f>
        <v>1329250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IFERROR(__xludf.DUMMYFUNCTION("IMPORTRANGE(""https://docs.google.com/spreadsheets/d/1XL5vhW3sbDhbH9Cz0tuDiY8C3ctxq1tqvaCgkFb8cCA/edit?usp=sharing"",""อุบลราชธานี!J234"")"),1245)</f>
        <v>1245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IFERROR(__xludf.DUMMYFUNCTION("IMPORTRANGE(""https://docs.google.com/spreadsheets/d/1XL5vhW3sbDhbH9Cz0tuDiY8C3ctxq1tqvaCgkFb8cCA/edit?usp=sharing"",""อุบลราชธานี!J235"")"),9628.57)</f>
        <v>9628.57</v>
      </c>
      <c r="K340" s="343">
        <f t="shared" ca="1" si="103"/>
        <v>99.881431535269712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IFERROR(__xludf.DUMMYFUNCTION("IMPORTRANGE(""https://docs.google.com/spreadsheets/d/1XL5vhW3sbDhbH9Cz0tuDiY8C3ctxq1tqvaCgkFb8cCA/edit?usp=sharing"",""อุบลราชธานี!J236"")"),1253)</f>
        <v>1253</v>
      </c>
      <c r="K341" s="343">
        <f t="shared" ca="1" si="103"/>
        <v>111.875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IFERROR(__xludf.DUMMYFUNCTION("IMPORTRANGE(""https://docs.google.com/spreadsheets/d/1XL5vhW3sbDhbH9Cz0tuDiY8C3ctxq1tqvaCgkFb8cCA/edit?usp=sharing"",""อุบลราชธานี!J237"")"),11245.83)</f>
        <v>11245.83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IFERROR(__xludf.DUMMYFUNCTION("IMPORTRANGE(""https://docs.google.com/spreadsheets/d/1XL5vhW3sbDhbH9Cz0tuDiY8C3ctxq1tqvaCgkFb8cCA/edit?usp=sharing"",""อุบลราชธานี!J238"")"),261)</f>
        <v>261</v>
      </c>
      <c r="K343" s="343">
        <f t="shared" ca="1" si="103"/>
        <v>23.303571428571427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IFERROR(__xludf.DUMMYFUNCTION("IMPORTRANGE(""https://docs.google.com/spreadsheets/d/1XL5vhW3sbDhbH9Cz0tuDiY8C3ctxq1tqvaCgkFb8cCA/edit?usp=sharing"",""อุบลราชธานี!J239"")"),2647.8)</f>
        <v>2647.8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IFERROR(__xludf.DUMMYFUNCTION("IMPORTRANGE(""https://docs.google.com/spreadsheets/d/1XL5vhW3sbDhbH9Cz0tuDiY8C3ctxq1tqvaCgkFb8cCA/edit?usp=sharing"",""อุบลราชธานี!J240"")"),926)</f>
        <v>926</v>
      </c>
      <c r="K345" s="343">
        <f t="shared" ca="1" si="103"/>
        <v>82.678571428571431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IFERROR(__xludf.DUMMYFUNCTION("IMPORTRANGE(""https://docs.google.com/spreadsheets/d/1XL5vhW3sbDhbH9Cz0tuDiY8C3ctxq1tqvaCgkFb8cCA/edit?usp=sharing"",""อุบลราชธานี!J241"")"),8829.13)</f>
        <v>8829.1299999999992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IFERROR(__xludf.DUMMYFUNCTION("IMPORTRANGE(""https://docs.google.com/spreadsheets/d/1XL5vhW3sbDhbH9Cz0tuDiY8C3ctxq1tqvaCgkFb8cCA/edit?usp=sharing"",""อุบลราชธานี!L242"")"),3401345)</f>
        <v>3401345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IFERROR(__xludf.DUMMYFUNCTION("IMPORTRANGE(""https://docs.google.com/spreadsheets/d/1XL5vhW3sbDhbH9Cz0tuDiY8C3ctxq1tqvaCgkFb8cCA/edit?usp=sharing"",""อุบลราชธานี!M242"")"),3082037.55)</f>
        <v>3082037.55</v>
      </c>
      <c r="O347" s="358">
        <f ca="1">+IF(L347&gt;0,N347*100/L347,0)</f>
        <v>90.612318068293575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IFERROR(__xludf.DUMMYFUNCTION("IMPORTRANGE(""https://docs.google.com/spreadsheets/d/1XL5vhW3sbDhbH9Cz0tuDiY8C3ctxq1tqvaCgkFb8cCA/edit?usp=sharing"",""อุบลราชธานี!M244"")"),503079)</f>
        <v>503079</v>
      </c>
      <c r="O349" s="373">
        <f ca="1">+IF(L349&gt;0,N349*100/L349,0)</f>
        <v>91.438983605365522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IFERROR(__xludf.DUMMYFUNCTION("IMPORTRANGE(""https://docs.google.com/spreadsheets/d/1XL5vhW3sbDhbH9Cz0tuDiY8C3ctxq1tqvaCgkFb8cCA/edit?usp=sharing"",""อุบลราชธานี!M247"")"),503079)</f>
        <v>503079</v>
      </c>
      <c r="O352" s="165">
        <f t="shared" ca="1" si="105"/>
        <v>91.438983605365522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IFERROR(__xludf.DUMMYFUNCTION("IMPORTRANGE(""https://docs.google.com/spreadsheets/d/1XL5vhW3sbDhbH9Cz0tuDiY8C3ctxq1tqvaCgkFb8cCA/edit?usp=sharing"",""อุบลราชธานี!M249"")"),503079)</f>
        <v>503079</v>
      </c>
      <c r="O354" s="169">
        <f t="shared" ca="1" si="105"/>
        <v>91.438983605365522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IFERROR(__xludf.DUMMYFUNCTION("IMPORTRANGE(""https://docs.google.com/spreadsheets/d/1XL5vhW3sbDhbH9Cz0tuDiY8C3ctxq1tqvaCgkFb8cCA/edit?usp=sharing"",""อุบลราชธานี!M252"")"),108899)</f>
        <v>108899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IFERROR(__xludf.DUMMYFUNCTION("IMPORTRANGE(""https://docs.google.com/spreadsheets/d/1XL5vhW3sbDhbH9Cz0tuDiY8C3ctxq1tqvaCgkFb8cCA/edit?usp=sharing"",""อุบลราชธานี!J274"")"),0)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IFERROR(__xludf.DUMMYFUNCTION("IMPORTRANGE(""https://docs.google.com/spreadsheets/d/1XL5vhW3sbDhbH9Cz0tuDiY8C3ctxq1tqvaCgkFb8cCA/edit?usp=sharing"",""อุบลราชธานี!M275"")"),883520)</f>
        <v>883520</v>
      </c>
      <c r="O380" s="373">
        <f ca="1">+IF(L380&gt;0,N380*100/L380,0)</f>
        <v>85.902072881421844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IFERROR(__xludf.DUMMYFUNCTION("IMPORTRANGE(""https://docs.google.com/spreadsheets/d/1XL5vhW3sbDhbH9Cz0tuDiY8C3ctxq1tqvaCgkFb8cCA/edit?usp=sharing"",""อุบลราชธานี!M278"")"),883520)</f>
        <v>883520</v>
      </c>
      <c r="O383" s="165">
        <f t="shared" ca="1" si="109"/>
        <v>85.902072881421844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IFERROR(__xludf.DUMMYFUNCTION("IMPORTRANGE(""https://docs.google.com/spreadsheets/d/1XL5vhW3sbDhbH9Cz0tuDiY8C3ctxq1tqvaCgkFb8cCA/edit?usp=sharing"",""อุบลราชธานี!M280"")"),883520)</f>
        <v>883520</v>
      </c>
      <c r="O385" s="169">
        <f t="shared" ca="1" si="109"/>
        <v>85.902072881421844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IFERROR(__xludf.DUMMYFUNCTION("IMPORTRANGE(""https://docs.google.com/spreadsheets/d/1XL5vhW3sbDhbH9Cz0tuDiY8C3ctxq1tqvaCgkFb8cCA/edit?usp=sharing"",""อุบลราชธานี!M283"")"),11000)</f>
        <v>11000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IFERROR(__xludf.DUMMYFUNCTION("IMPORTRANGE(""https://docs.google.com/spreadsheets/d/1XL5vhW3sbDhbH9Cz0tuDiY8C3ctxq1tqvaCgkFb8cCA/edit?usp=sharing"",""อุบลราชธานี!J295"")"),1)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IFERROR(__xludf.DUMMYFUNCTION("IMPORTRANGE(""https://docs.google.com/spreadsheets/d/1XL5vhW3sbDhbH9Cz0tuDiY8C3ctxq1tqvaCgkFb8cCA/edit?usp=sharing"",""อุบลราชธานี!M296"")"),233280)</f>
        <v>233280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IFERROR(__xludf.DUMMYFUNCTION("IMPORTRANGE(""https://docs.google.com/spreadsheets/d/1XL5vhW3sbDhbH9Cz0tuDiY8C3ctxq1tqvaCgkFb8cCA/edit?usp=sharing"",""อุบลราชธานี!M299"")"),233280)</f>
        <v>233280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IFERROR(__xludf.DUMMYFUNCTION("IMPORTRANGE(""https://docs.google.com/spreadsheets/d/1XL5vhW3sbDhbH9Cz0tuDiY8C3ctxq1tqvaCgkFb8cCA/edit?usp=sharing"",""อุบลราชธานี!M301"")"),233280)</f>
        <v>233280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IFERROR(__xludf.DUMMYFUNCTION("IMPORTRANGE(""https://docs.google.com/spreadsheets/d/1XL5vhW3sbDhbH9Cz0tuDiY8C3ctxq1tqvaCgkFb8cCA/edit?usp=sharing"",""อุบลราชธานี!M302"")"),145300)</f>
        <v>145300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IFERROR(__xludf.DUMMYFUNCTION("IMPORTRANGE(""https://docs.google.com/spreadsheets/d/1XL5vhW3sbDhbH9Cz0tuDiY8C3ctxq1tqvaCgkFb8cCA/edit?usp=sharing"",""อุบลราชธานี!J329"")"),0)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IFERROR(__xludf.DUMMYFUNCTION("IMPORTRANGE(""https://docs.google.com/spreadsheets/d/1XL5vhW3sbDhbH9Cz0tuDiY8C3ctxq1tqvaCgkFb8cCA/edit?usp=sharing"",""อุบลราชธานี!M330"")"),144000)</f>
        <v>144000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IFERROR(__xludf.DUMMYFUNCTION("IMPORTRANGE(""https://docs.google.com/spreadsheets/d/1XL5vhW3sbDhbH9Cz0tuDiY8C3ctxq1tqvaCgkFb8cCA/edit?usp=sharing"",""อุบลราชธานี!M332"")"),144000)</f>
        <v>144000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IFERROR(__xludf.DUMMYFUNCTION("IMPORTRANGE(""https://docs.google.com/spreadsheets/d/1XL5vhW3sbDhbH9Cz0tuDiY8C3ctxq1tqvaCgkFb8cCA/edit?usp=sharing"",""อุบลราชธานี!M334"")"),144000)</f>
        <v>144000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IFERROR(__xludf.DUMMYFUNCTION("IMPORTRANGE(""https://docs.google.com/spreadsheets/d/1XL5vhW3sbDhbH9Cz0tuDiY8C3ctxq1tqvaCgkFb8cCA/edit?usp=sharing"",""อุบลราชธานี!M335"")"),88200)</f>
        <v>88200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IFERROR(__xludf.DUMMYFUNCTION("IMPORTRANGE(""https://docs.google.com/spreadsheets/d/1XL5vhW3sbDhbH9Cz0tuDiY8C3ctxq1tqvaCgkFb8cCA/edit?usp=sharing"",""อุบลราชธานี!J349"")"),0)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IFERROR(__xludf.DUMMYFUNCTION("IMPORTRANGE(""https://docs.google.com/spreadsheets/d/1XL5vhW3sbDhbH9Cz0tuDiY8C3ctxq1tqvaCgkFb8cCA/edit?usp=sharing"",""อุบลราชธานี!J350"")"),44577.1975)</f>
        <v>44577.197500000002</v>
      </c>
      <c r="K455" s="372">
        <f ca="1">IF(I455&gt;0,J455*100/I455,0)</f>
        <v>100.00044305359266</v>
      </c>
      <c r="L455" s="373">
        <f ca="1">IFERROR(__xludf.DUMMYFUNCTION("IMPORTRANGE(""https://docs.google.com/spreadsheets/d/1XL5vhW3sbDhbH9Cz0tuDiY8C3ctxq1tqvaCgkFb8cCA/edit?usp=sharing"",""อุบลราชธานี!L350"")"),497475)</f>
        <v>497475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IFERROR(__xludf.DUMMYFUNCTION("IMPORTRANGE(""https://docs.google.com/spreadsheets/d/1XL5vhW3sbDhbH9Cz0tuDiY8C3ctxq1tqvaCgkFb8cCA/edit?usp=sharing"",""อุบลราชธานี!M350"")"),444659)</f>
        <v>444659</v>
      </c>
      <c r="O455" s="373">
        <f t="shared" ref="O455:O459" ca="1" si="116">+IF(L455&gt;0,N455*100/L455,0)</f>
        <v>89.383185084677621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IFERROR(__xludf.DUMMYFUNCTION("IMPORTRANGE(""https://docs.google.com/spreadsheets/d/1XL5vhW3sbDhbH9Cz0tuDiY8C3ctxq1tqvaCgkFb8cCA/edit?usp=sharing"",""อุบลราชธานี!L352"")"),497475)</f>
        <v>497475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IFERROR(__xludf.DUMMYFUNCTION("IMPORTRANGE(""https://docs.google.com/spreadsheets/d/1XL5vhW3sbDhbH9Cz0tuDiY8C3ctxq1tqvaCgkFb8cCA/edit?usp=sharing"",""อุบลราชธานี!M352"")"),444659)</f>
        <v>444659</v>
      </c>
      <c r="O457" s="169">
        <f t="shared" ca="1" si="116"/>
        <v>89.383185084677621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IFERROR(__xludf.DUMMYFUNCTION("IMPORTRANGE(""https://docs.google.com/spreadsheets/d/1XL5vhW3sbDhbH9Cz0tuDiY8C3ctxq1tqvaCgkFb8cCA/edit?usp=sharing"",""อุบลราชธานี!L354"")"),497475)</f>
        <v>497475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IFERROR(__xludf.DUMMYFUNCTION("IMPORTRANGE(""https://docs.google.com/spreadsheets/d/1XL5vhW3sbDhbH9Cz0tuDiY8C3ctxq1tqvaCgkFb8cCA/edit?usp=sharing"",""อุบลราชธานี!M354"")"),444659)</f>
        <v>444659</v>
      </c>
      <c r="O459" s="169">
        <f t="shared" ca="1" si="116"/>
        <v>89.383185084677621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IFERROR(__xludf.DUMMYFUNCTION("IMPORTRANGE(""https://docs.google.com/spreadsheets/d/1XL5vhW3sbDhbH9Cz0tuDiY8C3ctxq1tqvaCgkFb8cCA/edit?usp=sharing"",""อุบลราชธานี!M357"")"),107462)</f>
        <v>107462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IFERROR(__xludf.DUMMYFUNCTION("IMPORTRANGE(""https://docs.google.com/spreadsheets/d/1XL5vhW3sbDhbH9Cz0tuDiY8C3ctxq1tqvaCgkFb8cCA/edit?usp=sharing"",""อุบลราชธานี!M358"")"),337197)</f>
        <v>337197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IFERROR(__xludf.DUMMYFUNCTION("IMPORTRANGE(""https://docs.google.com/spreadsheets/d/1XL5vhW3sbDhbH9Cz0tuDiY8C3ctxq1tqvaCgkFb8cCA/edit?usp=sharing"",""อุบลราชธานี!J359"")"),44577.1975)</f>
        <v>44577.197500000002</v>
      </c>
      <c r="K464" s="269">
        <f t="shared" ref="K464:K515" ca="1" si="117">IF(I464&gt;0,J464*100/I464,0)</f>
        <v>100.00044305359266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IFERROR(__xludf.DUMMYFUNCTION("IMPORTRANGE(""https://docs.google.com/spreadsheets/d/1XL5vhW3sbDhbH9Cz0tuDiY8C3ctxq1tqvaCgkFb8cCA/edit?usp=sharing"",""อุบลราชธานี!J370"")"),40285)</f>
        <v>40285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IFERROR(__xludf.DUMMYFUNCTION("IMPORTRANGE(""https://docs.google.com/spreadsheets/d/1XL5vhW3sbDhbH9Cz0tuDiY8C3ctxq1tqvaCgkFb8cCA/edit?usp=sharing"",""อุบลราชธานี!J371"")"),5413)</f>
        <v>5413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IFERROR(__xludf.DUMMYFUNCTION("IMPORTRANGE(""https://docs.google.com/spreadsheets/d/1XL5vhW3sbDhbH9Cz0tuDiY8C3ctxq1tqvaCgkFb8cCA/edit?usp=sharing"",""อุบลราชธานี!J372"")"),3122)</f>
        <v>3122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IFERROR(__xludf.DUMMYFUNCTION("IMPORTRANGE(""https://docs.google.com/spreadsheets/d/1XL5vhW3sbDhbH9Cz0tuDiY8C3ctxq1tqvaCgkFb8cCA/edit?usp=sharing"",""อุบลราชธานี!J373"")"),287)</f>
        <v>287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IFERROR(__xludf.DUMMYFUNCTION("IMPORTRANGE(""https://docs.google.com/spreadsheets/d/1XL5vhW3sbDhbH9Cz0tuDiY8C3ctxq1tqvaCgkFb8cCA/edit?usp=sharing"",""อุบลราชธานี!J374"")"),1170)</f>
        <v>1170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IFERROR(__xludf.DUMMYFUNCTION("IMPORTRANGE(""https://docs.google.com/spreadsheets/d/1XL5vhW3sbDhbH9Cz0tuDiY8C3ctxq1tqvaCgkFb8cCA/edit?usp=sharing"",""อุบลราชธานี!J375"")"),116)</f>
        <v>116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IFERROR(__xludf.DUMMYFUNCTION("IMPORTRANGE(""https://docs.google.com/spreadsheets/d/1XL5vhW3sbDhbH9Cz0tuDiY8C3ctxq1tqvaCgkFb8cCA/edit?usp=sharing"",""อุบลราชธานี!J376"")"),44577.1975)</f>
        <v>44577.197500000002</v>
      </c>
      <c r="K481" s="202">
        <f t="shared" ca="1" si="117"/>
        <v>100.00044305359266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IFERROR(__xludf.DUMMYFUNCTION("IMPORTRANGE(""https://docs.google.com/spreadsheets/d/1XL5vhW3sbDhbH9Cz0tuDiY8C3ctxq1tqvaCgkFb8cCA/edit?usp=sharing"",""อุบลราชธานี!J378"")"),41832)</f>
        <v>41832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IFERROR(__xludf.DUMMYFUNCTION("IMPORTRANGE(""https://docs.google.com/spreadsheets/d/1XL5vhW3sbDhbH9Cz0tuDiY8C3ctxq1tqvaCgkFb8cCA/edit?usp=sharing"",""อุบลราชธานี!J379"")"),5521)</f>
        <v>5521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IFERROR(__xludf.DUMMYFUNCTION("IMPORTRANGE(""https://docs.google.com/spreadsheets/d/1XL5vhW3sbDhbH9Cz0tuDiY8C3ctxq1tqvaCgkFb8cCA/edit?usp=sharing"",""อุบลราชธานี!J380"")"),4)</f>
        <v>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IFERROR(__xludf.DUMMYFUNCTION("IMPORTRANGE(""https://docs.google.com/spreadsheets/d/1XL5vhW3sbDhbH9Cz0tuDiY8C3ctxq1tqvaCgkFb8cCA/edit?usp=sharing"",""อุบลราชธานี!J381"")"),13)</f>
        <v>13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IFERROR(__xludf.DUMMYFUNCTION("IMPORTRANGE(""https://docs.google.com/spreadsheets/d/1XL5vhW3sbDhbH9Cz0tuDiY8C3ctxq1tqvaCgkFb8cCA/edit?usp=sharing"",""อุบลราชธานี!J382"")"),1369)</f>
        <v>1369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IFERROR(__xludf.DUMMYFUNCTION("IMPORTRANGE(""https://docs.google.com/spreadsheets/d/1XL5vhW3sbDhbH9Cz0tuDiY8C3ctxq1tqvaCgkFb8cCA/edit?usp=sharing"",""อุบลราชธานี!J383"")"),167)</f>
        <v>167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IFERROR(__xludf.DUMMYFUNCTION("IMPORTRANGE(""https://docs.google.com/spreadsheets/d/1XL5vhW3sbDhbH9Cz0tuDiY8C3ctxq1tqvaCgkFb8cCA/edit?usp=sharing"",""อุบลราชธานี!J384"")"),1369)</f>
        <v>1369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IFERROR(__xludf.DUMMYFUNCTION("IMPORTRANGE(""https://docs.google.com/spreadsheets/d/1XL5vhW3sbDhbH9Cz0tuDiY8C3ctxq1tqvaCgkFb8cCA/edit?usp=sharing"",""อุบลราชธานี!J385"")"),167)</f>
        <v>167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IFERROR(__xludf.DUMMYFUNCTION("IMPORTRANGE(""https://docs.google.com/spreadsheets/d/1XL5vhW3sbDhbH9Cz0tuDiY8C3ctxq1tqvaCgkFb8cCA/edit?usp=sharing"",""อุบลราชธานี!J388"")"),1372.1975)</f>
        <v>1372.1975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IFERROR(__xludf.DUMMYFUNCTION("IMPORTRANGE(""https://docs.google.com/spreadsheets/d/1XL5vhW3sbDhbH9Cz0tuDiY8C3ctxq1tqvaCgkFb8cCA/edit?usp=sharing"",""อุบลราชธานี!J389"")"),115)</f>
        <v>115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IFERROR(__xludf.DUMMYFUNCTION("IMPORTRANGE(""https://docs.google.com/spreadsheets/d/1XL5vhW3sbDhbH9Cz0tuDiY8C3ctxq1tqvaCgkFb8cCA/edit?usp=sharing"",""อุบลราชธานี!J392"")"),1368.068)</f>
        <v>1368.068</v>
      </c>
      <c r="K497" s="444">
        <f t="shared" ca="1" si="117"/>
        <v>100.07812728602779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IFERROR(__xludf.DUMMYFUNCTION("IMPORTRANGE(""https://docs.google.com/spreadsheets/d/1XL5vhW3sbDhbH9Cz0tuDiY8C3ctxq1tqvaCgkFb8cCA/edit?usp=sharing"",""อุบลราชธานี!J393"")"),1368.068)</f>
        <v>1368.068</v>
      </c>
      <c r="K498" s="202">
        <f t="shared" ca="1" si="117"/>
        <v>100.07812728602779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IFERROR(__xludf.DUMMYFUNCTION("IMPORTRANGE(""https://docs.google.com/spreadsheets/d/1XL5vhW3sbDhbH9Cz0tuDiY8C3ctxq1tqvaCgkFb8cCA/edit?usp=sharing"",""อุบลราชธานี!J394"")"),279)</f>
        <v>279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IFERROR(__xludf.DUMMYFUNCTION("IMPORTRANGE(""https://docs.google.com/spreadsheets/d/1XL5vhW3sbDhbH9Cz0tuDiY8C3ctxq1tqvaCgkFb8cCA/edit?usp=sharing"",""อุบลราชธานี!J395"")"),1178.068)</f>
        <v>1178.068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IFERROR(__xludf.DUMMYFUNCTION("IMPORTRANGE(""https://docs.google.com/spreadsheets/d/1XL5vhW3sbDhbH9Cz0tuDiY8C3ctxq1tqvaCgkFb8cCA/edit?usp=sharing"",""อุบลราชธานี!J396"")"),231)</f>
        <v>231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IFERROR(__xludf.DUMMYFUNCTION("IMPORTRANGE(""https://docs.google.com/spreadsheets/d/1XL5vhW3sbDhbH9Cz0tuDiY8C3ctxq1tqvaCgkFb8cCA/edit?usp=sharing"",""อุบลราชธานี!J397"")"),1175)</f>
        <v>1175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IFERROR(__xludf.DUMMYFUNCTION("IMPORTRANGE(""https://docs.google.com/spreadsheets/d/1XL5vhW3sbDhbH9Cz0tuDiY8C3ctxq1tqvaCgkFb8cCA/edit?usp=sharing"",""อุบลราชธานี!J398"")"),230)</f>
        <v>230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IFERROR(__xludf.DUMMYFUNCTION("IMPORTRANGE(""https://docs.google.com/spreadsheets/d/1XL5vhW3sbDhbH9Cz0tuDiY8C3ctxq1tqvaCgkFb8cCA/edit?usp=sharing"",""อุบลราชธานี!J399"")"),3.068)</f>
        <v>3.0680000000000001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IFERROR(__xludf.DUMMYFUNCTION("IMPORTRANGE(""https://docs.google.com/spreadsheets/d/1XL5vhW3sbDhbH9Cz0tuDiY8C3ctxq1tqvaCgkFb8cCA/edit?usp=sharing"",""อุบลราชธานี!J403"")"),190)</f>
        <v>190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IFERROR(__xludf.DUMMYFUNCTION("IMPORTRANGE(""https://docs.google.com/spreadsheets/d/1XL5vhW3sbDhbH9Cz0tuDiY8C3ctxq1tqvaCgkFb8cCA/edit?usp=sharing"",""อุบลราชธานี!J404"")"),48)</f>
        <v>48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IFERROR(__xludf.DUMMYFUNCTION("IMPORTRANGE(""https://docs.google.com/spreadsheets/d/1XL5vhW3sbDhbH9Cz0tuDiY8C3ctxq1tqvaCgkFb8cCA/edit?usp=sharing"",""อุบลราชธานี!J405"")"),190)</f>
        <v>190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IFERROR(__xludf.DUMMYFUNCTION("IMPORTRANGE(""https://docs.google.com/spreadsheets/d/1XL5vhW3sbDhbH9Cz0tuDiY8C3ctxq1tqvaCgkFb8cCA/edit?usp=sharing"",""อุบลราชธานี!J406"")"),48)</f>
        <v>48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IFERROR(__xludf.DUMMYFUNCTION("IMPORTRANGE(""https://docs.google.com/spreadsheets/d/1XL5vhW3sbDhbH9Cz0tuDiY8C3ctxq1tqvaCgkFb8cCA/edit?usp=sharing"",""อุบลราชธานี!I412"")"),0)</f>
        <v>0</v>
      </c>
      <c r="J517" s="285">
        <f ca="1">IFERROR(__xludf.DUMMYFUNCTION("IMPORTRANGE(""https://docs.google.com/spreadsheets/d/1XL5vhW3sbDhbH9Cz0tuDiY8C3ctxq1tqvaCgkFb8cCA/edit?usp=sharing"",""อุบลราชธานี!J412"")"),0)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IFERROR(__xludf.DUMMYFUNCTION("IMPORTRANGE(""https://docs.google.com/spreadsheets/d/1XL5vhW3sbDhbH9Cz0tuDiY8C3ctxq1tqvaCgkFb8cCA/edit?usp=sharing"",""อุบลราชธานี!I413"")"),0)</f>
        <v>0</v>
      </c>
      <c r="J518" s="285">
        <f ca="1">IFERROR(__xludf.DUMMYFUNCTION("IMPORTRANGE(""https://docs.google.com/spreadsheets/d/1XL5vhW3sbDhbH9Cz0tuDiY8C3ctxq1tqvaCgkFb8cCA/edit?usp=sharing"",""อุบลราชธานี!J413"")"),0)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IFERROR(__xludf.DUMMYFUNCTION("IMPORTRANGE(""https://docs.google.com/spreadsheets/d/1XL5vhW3sbDhbH9Cz0tuDiY8C3ctxq1tqvaCgkFb8cCA/edit?usp=sharing"",""อุบลราชธานี!J418"")"),294)</f>
        <v>294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IFERROR(__xludf.DUMMYFUNCTION("IMPORTRANGE(""https://docs.google.com/spreadsheets/d/1XL5vhW3sbDhbH9Cz0tuDiY8C3ctxq1tqvaCgkFb8cCA/edit?usp=sharing"",""อุบลราชธานี!J419"")"),23)</f>
        <v>23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IFERROR(__xludf.DUMMYFUNCTION("IMPORTRANGE(""https://docs.google.com/spreadsheets/d/1XL5vhW3sbDhbH9Cz0tuDiY8C3ctxq1tqvaCgkFb8cCA/edit?usp=sharing"",""อุบลราชธานี!I420"")"),294)</f>
        <v>294</v>
      </c>
      <c r="J525" s="285">
        <f ca="1">IFERROR(__xludf.DUMMYFUNCTION("IMPORTRANGE(""https://docs.google.com/spreadsheets/d/1XL5vhW3sbDhbH9Cz0tuDiY8C3ctxq1tqvaCgkFb8cCA/edit?usp=sharing"",""อุบลราชธานี!J420"")"),0)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IFERROR(__xludf.DUMMYFUNCTION("IMPORTRANGE(""https://docs.google.com/spreadsheets/d/1XL5vhW3sbDhbH9Cz0tuDiY8C3ctxq1tqvaCgkFb8cCA/edit?usp=sharing"",""อุบลราชธานี!I421"")"),23)</f>
        <v>23</v>
      </c>
      <c r="J526" s="285">
        <f ca="1">IFERROR(__xludf.DUMMYFUNCTION("IMPORTRANGE(""https://docs.google.com/spreadsheets/d/1XL5vhW3sbDhbH9Cz0tuDiY8C3ctxq1tqvaCgkFb8cCA/edit?usp=sharing"",""อุบลราชธานี!J421"")"),0)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IFERROR(__xludf.DUMMYFUNCTION("IMPORTRANGE(""https://docs.google.com/spreadsheets/d/1XL5vhW3sbDhbH9Cz0tuDiY8C3ctxq1tqvaCgkFb8cCA/edit?usp=sharing"",""อุบลราชธานี!J446"")"),4456)</f>
        <v>4456</v>
      </c>
      <c r="K551" s="411">
        <f ca="1">IF(I551&gt;0,J551*100/I551,0)</f>
        <v>89.12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IFERROR(__xludf.DUMMYFUNCTION("IMPORTRANGE(""https://docs.google.com/spreadsheets/d/1XL5vhW3sbDhbH9Cz0tuDiY8C3ctxq1tqvaCgkFb8cCA/edit?usp=sharing"",""อุบลราชธานี!M446"")"),315312.1)</f>
        <v>315312.09999999998</v>
      </c>
      <c r="O551" s="412">
        <f t="shared" ref="O551:O555" ca="1" si="120">+IF(L551&gt;0,N551*100/L551,0)</f>
        <v>98.535031249999989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IFERROR(__xludf.DUMMYFUNCTION("IMPORTRANGE(""https://docs.google.com/spreadsheets/d/1XL5vhW3sbDhbH9Cz0tuDiY8C3ctxq1tqvaCgkFb8cCA/edit?usp=sharing"",""อุบลราชธานี!M448"")"),315312.1)</f>
        <v>315312.09999999998</v>
      </c>
      <c r="O553" s="169">
        <f t="shared" ca="1" si="120"/>
        <v>98.535031249999989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IFERROR(__xludf.DUMMYFUNCTION("IMPORTRANGE(""https://docs.google.com/spreadsheets/d/1XL5vhW3sbDhbH9Cz0tuDiY8C3ctxq1tqvaCgkFb8cCA/edit?usp=sharing"",""อุบลราชธานี!M450"")"),315312.1)</f>
        <v>315312.09999999998</v>
      </c>
      <c r="O555" s="169">
        <f t="shared" ca="1" si="120"/>
        <v>98.535031249999989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IFERROR(__xludf.DUMMYFUNCTION("IMPORTRANGE(""https://docs.google.com/spreadsheets/d/1XL5vhW3sbDhbH9Cz0tuDiY8C3ctxq1tqvaCgkFb8cCA/edit?usp=sharing"",""อุบลราชธานี!M453"")"),134171)</f>
        <v>134171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IFERROR(__xludf.DUMMYFUNCTION("IMPORTRANGE(""https://docs.google.com/spreadsheets/d/1XL5vhW3sbDhbH9Cz0tuDiY8C3ctxq1tqvaCgkFb8cCA/edit?usp=sharing"",""อุบลราชธานี!M454"")"),181141.1)</f>
        <v>181141.1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IFERROR(__xludf.DUMMYFUNCTION("IMPORTRANGE(""https://docs.google.com/spreadsheets/d/1XL5vhW3sbDhbH9Cz0tuDiY8C3ctxq1tqvaCgkFb8cCA/edit?usp=sharing"",""อุบลราชธานี!J455"")"),4456)</f>
        <v>4456</v>
      </c>
      <c r="K560" s="225">
        <f t="shared" ref="K560:K561" ca="1" si="121">IF(I560&gt;0,J560*100/I560,0)</f>
        <v>89.12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IFERROR(__xludf.DUMMYFUNCTION("IMPORTRANGE(""https://docs.google.com/spreadsheets/d/1XL5vhW3sbDhbH9Cz0tuDiY8C3ctxq1tqvaCgkFb8cCA/edit?usp=sharing"",""อุบลราชธานี!J456"")"),342)</f>
        <v>342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IFERROR(__xludf.DUMMYFUNCTION("IMPORTRANGE(""https://docs.google.com/spreadsheets/d/1XL5vhW3sbDhbH9Cz0tuDiY8C3ctxq1tqvaCgkFb8cCA/edit?usp=sharing"",""อุบลราชธานี!J459"")"),15954)</f>
        <v>15954</v>
      </c>
      <c r="K564" s="372">
        <f ca="1">IF(I564&gt;0,J564*100/I564,0)</f>
        <v>221.58333333333334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IFERROR(__xludf.DUMMYFUNCTION("IMPORTRANGE(""https://docs.google.com/spreadsheets/d/1XL5vhW3sbDhbH9Cz0tuDiY8C3ctxq1tqvaCgkFb8cCA/edit?usp=sharing"",""อุบลราชธานี!M459"")"),193800)</f>
        <v>193800</v>
      </c>
      <c r="O564" s="373">
        <f t="shared" ref="O564:O568" ca="1" si="122">+IF(L564&gt;0,N564*100/L564,0)</f>
        <v>98.275862068965523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IFERROR(__xludf.DUMMYFUNCTION("IMPORTRANGE(""https://docs.google.com/spreadsheets/d/1XL5vhW3sbDhbH9Cz0tuDiY8C3ctxq1tqvaCgkFb8cCA/edit?usp=sharing"",""อุบลราชธานี!M461"")"),193800)</f>
        <v>193800</v>
      </c>
      <c r="O566" s="169">
        <f t="shared" ca="1" si="122"/>
        <v>98.275862068965523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IFERROR(__xludf.DUMMYFUNCTION("IMPORTRANGE(""https://docs.google.com/spreadsheets/d/1XL5vhW3sbDhbH9Cz0tuDiY8C3ctxq1tqvaCgkFb8cCA/edit?usp=sharing"",""อุบลราชธานี!M463"")"),193800)</f>
        <v>193800</v>
      </c>
      <c r="O568" s="169">
        <f t="shared" ca="1" si="122"/>
        <v>98.275862068965523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IFERROR(__xludf.DUMMYFUNCTION("IMPORTRANGE(""https://docs.google.com/spreadsheets/d/1XL5vhW3sbDhbH9Cz0tuDiY8C3ctxq1tqvaCgkFb8cCA/edit?usp=sharing"",""อุบลราชธานี!M466"")"),96467)</f>
        <v>96467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IFERROR(__xludf.DUMMYFUNCTION("IMPORTRANGE(""https://docs.google.com/spreadsheets/d/1XL5vhW3sbDhbH9Cz0tuDiY8C3ctxq1tqvaCgkFb8cCA/edit?usp=sharing"",""อุบลราชธานี!M467"")"),97333)</f>
        <v>97333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IFERROR(__xludf.DUMMYFUNCTION("IMPORTRANGE(""https://docs.google.com/spreadsheets/d/1XL5vhW3sbDhbH9Cz0tuDiY8C3ctxq1tqvaCgkFb8cCA/edit?usp=sharing"",""อุบลราชธานี!J468"")"),15954)</f>
        <v>15954</v>
      </c>
      <c r="K573" s="202">
        <f ca="1">IF(I573&gt;0,J573*100/I573,0)</f>
        <v>221.58333333333334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IFERROR(__xludf.DUMMYFUNCTION("IMPORTRANGE(""https://docs.google.com/spreadsheets/d/1XL5vhW3sbDhbH9Cz0tuDiY8C3ctxq1tqvaCgkFb8cCA/edit?usp=sharing"",""อุบลราชธานี!J472"")"),14306)</f>
        <v>14306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IFERROR(__xludf.DUMMYFUNCTION("IMPORTRANGE(""https://docs.google.com/spreadsheets/d/1XL5vhW3sbDhbH9Cz0tuDiY8C3ctxq1tqvaCgkFb8cCA/edit?usp=sharing"",""อุบลราชธานี!J473"")"),10)</f>
        <v>10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IFERROR(__xludf.DUMMYFUNCTION("IMPORTRANGE(""https://docs.google.com/spreadsheets/d/1XL5vhW3sbDhbH9Cz0tuDiY8C3ctxq1tqvaCgkFb8cCA/edit?usp=sharing"",""อุบลราชธานี!J474"")"),1082)</f>
        <v>1082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IFERROR(__xludf.DUMMYFUNCTION("IMPORTRANGE(""https://docs.google.com/spreadsheets/d/1XL5vhW3sbDhbH9Cz0tuDiY8C3ctxq1tqvaCgkFb8cCA/edit?usp=sharing"",""อุบลราชธานี!J475"")"),21)</f>
        <v>21</v>
      </c>
      <c r="K580" s="372">
        <f ca="1">IF(I580&gt;0,J580*100/I580,0)</f>
        <v>21</v>
      </c>
      <c r="L580" s="373">
        <f ca="1">IFERROR(__xludf.DUMMYFUNCTION("IMPORTRANGE(""https://docs.google.com/spreadsheets/d/1XL5vhW3sbDhbH9Cz0tuDiY8C3ctxq1tqvaCgkFb8cCA/edit?usp=sharing"",""อุบลราชธานี!L475"")"),390100)</f>
        <v>390100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IFERROR(__xludf.DUMMYFUNCTION("IMPORTRANGE(""https://docs.google.com/spreadsheets/d/1XL5vhW3sbDhbH9Cz0tuDiY8C3ctxq1tqvaCgkFb8cCA/edit?usp=sharing"",""อุบลราชธานี!M475"")"),316087.45)</f>
        <v>316087.45</v>
      </c>
      <c r="O580" s="373">
        <f t="shared" ref="O580:O584" ca="1" si="124">+IF(L580&gt;0,N580*100/L580,0)</f>
        <v>81.027287874903877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IFERROR(__xludf.DUMMYFUNCTION("IMPORTRANGE(""https://docs.google.com/spreadsheets/d/1XL5vhW3sbDhbH9Cz0tuDiY8C3ctxq1tqvaCgkFb8cCA/edit?usp=sharing"",""อุบลราชธานี!L477"")"),390100)</f>
        <v>390100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IFERROR(__xludf.DUMMYFUNCTION("IMPORTRANGE(""https://docs.google.com/spreadsheets/d/1XL5vhW3sbDhbH9Cz0tuDiY8C3ctxq1tqvaCgkFb8cCA/edit?usp=sharing"",""อุบลราชธานี!M477"")"),316087.45)</f>
        <v>316087.45</v>
      </c>
      <c r="O582" s="169">
        <f t="shared" ca="1" si="124"/>
        <v>81.027287874903877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IFERROR(__xludf.DUMMYFUNCTION("IMPORTRANGE(""https://docs.google.com/spreadsheets/d/1XL5vhW3sbDhbH9Cz0tuDiY8C3ctxq1tqvaCgkFb8cCA/edit?usp=sharing"",""อุบลราชธานี!L479"")"),390100)</f>
        <v>390100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IFERROR(__xludf.DUMMYFUNCTION("IMPORTRANGE(""https://docs.google.com/spreadsheets/d/1XL5vhW3sbDhbH9Cz0tuDiY8C3ctxq1tqvaCgkFb8cCA/edit?usp=sharing"",""อุบลราชธานี!M479"")"),316087.45)</f>
        <v>316087.45</v>
      </c>
      <c r="O584" s="169">
        <f t="shared" ca="1" si="124"/>
        <v>81.027287874903877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IFERROR(__xludf.DUMMYFUNCTION("IMPORTRANGE(""https://docs.google.com/spreadsheets/d/1XL5vhW3sbDhbH9Cz0tuDiY8C3ctxq1tqvaCgkFb8cCA/edit?usp=sharing"",""อุบลราชธานี!M482"")"),107834)</f>
        <v>107834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IFERROR(__xludf.DUMMYFUNCTION("IMPORTRANGE(""https://docs.google.com/spreadsheets/d/1XL5vhW3sbDhbH9Cz0tuDiY8C3ctxq1tqvaCgkFb8cCA/edit?usp=sharing"",""อุบลราชธานี!M483"")"),208253.45)</f>
        <v>208253.45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IFERROR(__xludf.DUMMYFUNCTION("IMPORTRANGE(""https://docs.google.com/spreadsheets/d/1XL5vhW3sbDhbH9Cz0tuDiY8C3ctxq1tqvaCgkFb8cCA/edit?usp=sharing"",""อุบลราชธานี!J484"")"),141)</f>
        <v>141</v>
      </c>
      <c r="K589" s="163">
        <f t="shared" ref="K589:K596" ca="1" si="125">IF(I589&gt;0,J589*100/I589,0)</f>
        <v>141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IFERROR(__xludf.DUMMYFUNCTION("IMPORTRANGE(""https://docs.google.com/spreadsheets/d/1XL5vhW3sbDhbH9Cz0tuDiY8C3ctxq1tqvaCgkFb8cCA/edit?usp=sharing"",""อุบลราชธานี!J485"")"),61.55)</f>
        <v>61.55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IFERROR(__xludf.DUMMYFUNCTION("IMPORTRANGE(""https://docs.google.com/spreadsheets/d/1XL5vhW3sbDhbH9Cz0tuDiY8C3ctxq1tqvaCgkFb8cCA/edit?usp=sharing"",""อุบลราชธานี!J486"")"),111)</f>
        <v>111</v>
      </c>
      <c r="K591" s="163">
        <f t="shared" ca="1" si="125"/>
        <v>111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IFERROR(__xludf.DUMMYFUNCTION("IMPORTRANGE(""https://docs.google.com/spreadsheets/d/1XL5vhW3sbDhbH9Cz0tuDiY8C3ctxq1tqvaCgkFb8cCA/edit?usp=sharing"",""อุบลราชธานี!J487"")"),47.56)</f>
        <v>47.56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IFERROR(__xludf.DUMMYFUNCTION("IMPORTRANGE(""https://docs.google.com/spreadsheets/d/1XL5vhW3sbDhbH9Cz0tuDiY8C3ctxq1tqvaCgkFb8cCA/edit?usp=sharing"",""อุบลราชธานี!J488"")"),122)</f>
        <v>122</v>
      </c>
      <c r="K593" s="163">
        <f t="shared" ca="1" si="125"/>
        <v>122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IFERROR(__xludf.DUMMYFUNCTION("IMPORTRANGE(""https://docs.google.com/spreadsheets/d/1XL5vhW3sbDhbH9Cz0tuDiY8C3ctxq1tqvaCgkFb8cCA/edit?usp=sharing"",""อุบลราชธานี!J489"")"),59.53)</f>
        <v>59.53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IFERROR(__xludf.DUMMYFUNCTION("IMPORTRANGE(""https://docs.google.com/spreadsheets/d/1XL5vhW3sbDhbH9Cz0tuDiY8C3ctxq1tqvaCgkFb8cCA/edit?usp=sharing"",""อุบลราชธานี!J490"")"),21)</f>
        <v>21</v>
      </c>
      <c r="K595" s="163">
        <f t="shared" ca="1" si="125"/>
        <v>21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IFERROR(__xludf.DUMMYFUNCTION("IMPORTRANGE(""https://docs.google.com/spreadsheets/d/1XL5vhW3sbDhbH9Cz0tuDiY8C3ctxq1tqvaCgkFb8cCA/edit?usp=sharing"",""อุบลราชธานี!J491"")"),8.93)</f>
        <v>8.93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8">
        <f ca="1">IFERROR(__xludf.DUMMYFUNCTION("IMPORTRANGE(""https://docs.google.com/spreadsheets/d/1XL5vhW3sbDhbH9Cz0tuDiY8C3ctxq1tqvaCgkFb8cCA/edit?usp=sharing"",""อุบลราชธานี!J492"")"),36)</f>
        <v>36</v>
      </c>
      <c r="K597" s="411">
        <f ca="1">IF(I597&gt;0,J597*100/I597,0)</f>
        <v>72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IFERROR(__xludf.DUMMYFUNCTION("IMPORTRANGE(""https://docs.google.com/spreadsheets/d/1XL5vhW3sbDhbH9Cz0tuDiY8C3ctxq1tqvaCgkFb8cCA/edit?usp=sharing"",""อุบลราชธานี!M492"")"),12260)</f>
        <v>12260</v>
      </c>
      <c r="O597" s="412">
        <f t="shared" ref="O597:O601" ca="1" si="126">+IF(L597&gt;0,N597*100/L597,0)</f>
        <v>269.45054945054943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IFERROR(__xludf.DUMMYFUNCTION("IMPORTRANGE(""https://docs.google.com/spreadsheets/d/1XL5vhW3sbDhbH9Cz0tuDiY8C3ctxq1tqvaCgkFb8cCA/edit?usp=sharing"",""อุบลราชธานี!M494"")"),12260)</f>
        <v>12260</v>
      </c>
      <c r="O599" s="169">
        <f t="shared" ca="1" si="126"/>
        <v>269.45054945054943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IFERROR(__xludf.DUMMYFUNCTION("IMPORTRANGE(""https://docs.google.com/spreadsheets/d/1XL5vhW3sbDhbH9Cz0tuDiY8C3ctxq1tqvaCgkFb8cCA/edit?usp=sharing"",""อุบลราชธานี!M496"")"),12260)</f>
        <v>12260</v>
      </c>
      <c r="O601" s="169">
        <f t="shared" ca="1" si="126"/>
        <v>269.45054945054943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IFERROR(__xludf.DUMMYFUNCTION("IMPORTRANGE(""https://docs.google.com/spreadsheets/d/1XL5vhW3sbDhbH9Cz0tuDiY8C3ctxq1tqvaCgkFb8cCA/edit?usp=sharing"",""อุบลราชธานี!M500"")"),12260)</f>
        <v>12260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IFERROR(__xludf.DUMMYFUNCTION("IMPORTRANGE(""https://docs.google.com/spreadsheets/d/1XL5vhW3sbDhbH9Cz0tuDiY8C3ctxq1tqvaCgkFb8cCA/edit?usp=sharing"",""อุบลราชธานี!J506"")"),36)</f>
        <v>36</v>
      </c>
      <c r="K611" s="163">
        <f t="shared" ref="K611:K619" ca="1" si="127">IF(I$611&gt;0,J611*100/I$611,0)</f>
        <v>72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IFERROR(__xludf.DUMMYFUNCTION("IMPORTRANGE(""https://docs.google.com/spreadsheets/d/1XL5vhW3sbDhbH9Cz0tuDiY8C3ctxq1tqvaCgkFb8cCA/edit?usp=sharing"",""อุบลราชธานี!J512"")"),36)</f>
        <v>36</v>
      </c>
      <c r="K617" s="163">
        <f t="shared" ca="1" si="127"/>
        <v>72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IFERROR(__xludf.DUMMYFUNCTION("IMPORTRANGE(""https://docs.google.com/spreadsheets/d/1XL5vhW3sbDhbH9Cz0tuDiY8C3ctxq1tqvaCgkFb8cCA/edit?usp=sharing"",""อุบลราชธานี!J514"")"),36)</f>
        <v>36</v>
      </c>
      <c r="K619" s="163">
        <f t="shared" ca="1" si="127"/>
        <v>72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2">
        <f ca="1">IFERROR(__xludf.DUMMYFUNCTION("IMPORTRANGE(""https://docs.google.com/spreadsheets/d/1XL5vhW3sbDhbH9Cz0tuDiY8C3ctxq1tqvaCgkFb8cCA/edit?usp=sharing"",""อุบลราชธานี!J523"")"),5731193.44)</f>
        <v>5731193.4400000004</v>
      </c>
      <c r="K628" s="343">
        <f t="shared" ref="K628:K635" ca="1" si="129">IF(I628&gt;0,J628*100/I628,0)</f>
        <v>108.22044208278689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IFERROR(__xludf.DUMMYFUNCTION("IMPORTRANGE(""https://docs.google.com/spreadsheets/d/1XL5vhW3sbDhbH9Cz0tuDiY8C3ctxq1tqvaCgkFb8cCA/edit?usp=sharing"",""อุบลราชธานี!I524"")"),285)</f>
        <v>285</v>
      </c>
      <c r="J629" s="342">
        <f ca="1">IFERROR(__xludf.DUMMYFUNCTION("IMPORTRANGE(""https://docs.google.com/spreadsheets/d/1XL5vhW3sbDhbH9Cz0tuDiY8C3ctxq1tqvaCgkFb8cCA/edit?usp=sharing"",""อุบลราชธานี!J524"")"),266)</f>
        <v>266</v>
      </c>
      <c r="K629" s="343">
        <f t="shared" ca="1" si="129"/>
        <v>93.333333333333329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2">
        <f ca="1">IFERROR(__xludf.DUMMYFUNCTION("IMPORTRANGE(""https://docs.google.com/spreadsheets/d/1XL5vhW3sbDhbH9Cz0tuDiY8C3ctxq1tqvaCgkFb8cCA/edit?usp=sharing"",""อุบลราชธานี!J525"")"),982841.67)</f>
        <v>982841.67</v>
      </c>
      <c r="K630" s="343">
        <f t="shared" ca="1" si="129"/>
        <v>22.19685999972253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IFERROR(__xludf.DUMMYFUNCTION("IMPORTRANGE(""https://docs.google.com/spreadsheets/d/1XL5vhW3sbDhbH9Cz0tuDiY8C3ctxq1tqvaCgkFb8cCA/edit?usp=sharing"",""อุบลราชธานี!I526"")"),261)</f>
        <v>261</v>
      </c>
      <c r="J631" s="342">
        <f ca="1">IFERROR(__xludf.DUMMYFUNCTION("IMPORTRANGE(""https://docs.google.com/spreadsheets/d/1XL5vhW3sbDhbH9Cz0tuDiY8C3ctxq1tqvaCgkFb8cCA/edit?usp=sharing"",""อุบลราชธานี!J526"")"),118)</f>
        <v>118</v>
      </c>
      <c r="K631" s="343">
        <f t="shared" ca="1" si="129"/>
        <v>45.21072796934866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2">
        <f ca="1">IFERROR(__xludf.DUMMYFUNCTION("IMPORTRANGE(""https://docs.google.com/spreadsheets/d/1XL5vhW3sbDhbH9Cz0tuDiY8C3ctxq1tqvaCgkFb8cCA/edit?usp=sharing"",""อุบลราชธานี!J527"")"),715072.03)</f>
        <v>715072.03</v>
      </c>
      <c r="K632" s="343">
        <f t="shared" ca="1" si="129"/>
        <v>212.78264918303117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IFERROR(__xludf.DUMMYFUNCTION("IMPORTRANGE(""https://docs.google.com/spreadsheets/d/1XL5vhW3sbDhbH9Cz0tuDiY8C3ctxq1tqvaCgkFb8cCA/edit?usp=sharing"",""อุบลราชธานี!I528"")"),165)</f>
        <v>165</v>
      </c>
      <c r="J633" s="342">
        <f ca="1">IFERROR(__xludf.DUMMYFUNCTION("IMPORTRANGE(""https://docs.google.com/spreadsheets/d/1XL5vhW3sbDhbH9Cz0tuDiY8C3ctxq1tqvaCgkFb8cCA/edit?usp=sharing"",""อุบลราชธานี!J528"")"),219)</f>
        <v>219</v>
      </c>
      <c r="K633" s="343">
        <f t="shared" ca="1" si="129"/>
        <v>132.72727272727272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2">
        <f ca="1">IFERROR(__xludf.DUMMYFUNCTION("IMPORTRANGE(""https://docs.google.com/spreadsheets/d/1XL5vhW3sbDhbH9Cz0tuDiY8C3ctxq1tqvaCgkFb8cCA/edit?usp=sharing"",""อุบลราชธานี!J529"")"),7730000)</f>
        <v>7730000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IFERROR(__xludf.DUMMYFUNCTION("IMPORTRANGE(""https://docs.google.com/spreadsheets/d/1XL5vhW3sbDhbH9Cz0tuDiY8C3ctxq1tqvaCgkFb8cCA/edit?usp=sharing"",""อุบลราชธานี!I530"")"),189)</f>
        <v>189</v>
      </c>
      <c r="J635" s="505">
        <f ca="1">IFERROR(__xludf.DUMMYFUNCTION("IMPORTRANGE(""https://docs.google.com/spreadsheets/d/1XL5vhW3sbDhbH9Cz0tuDiY8C3ctxq1tqvaCgkFb8cCA/edit?usp=sharing"",""อุบลราชธานี!J530"")"),185)</f>
        <v>185</v>
      </c>
      <c r="K635" s="487">
        <f t="shared" ca="1" si="129"/>
        <v>97.883597883597886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5360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6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5360</v>
      </c>
      <c r="M638" s="521"/>
      <c r="N638" s="522">
        <f ca="1">SUM(N639:N640)</f>
        <v>0</v>
      </c>
      <c r="O638" s="522">
        <f t="shared" ca="1" si="130"/>
        <v>0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5360</v>
      </c>
      <c r="M640" s="521"/>
      <c r="N640" s="522">
        <f ca="1">SUM(N641:N644)</f>
        <v>0</v>
      </c>
      <c r="O640" s="522">
        <f t="shared" ca="1" si="130"/>
        <v>0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IFERROR(__xludf.DUMMYFUNCTION("IMPORTRANGE(""https://docs.google.com/spreadsheets/d/1XL5vhW3sbDhbH9Cz0tuDiY8C3ctxq1tqvaCgkFb8cCA/edit#gid=346597447"",""อุบลราชธานี!J541"")"),0)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IFERROR(__xludf.DUMMYFUNCTION("IMPORTRANGE(""https://docs.google.com/spreadsheets/d/1XL5vhW3sbDhbH9Cz0tuDiY8C3ctxq1tqvaCgkFb8cCA/edit#gid=346597447"",""อุบลราชธานี!J542"")"),0)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IFERROR(__xludf.DUMMYFUNCTION("IMPORTRANGE(""https://docs.google.com/spreadsheets/d/1XL5vhW3sbDhbH9Cz0tuDiY8C3ctxq1tqvaCgkFb8cCA/edit#gid=346597447"",""อุบลราชธานี!I543"")"),52)</f>
        <v>52</v>
      </c>
      <c r="J648" s="534">
        <f ca="1">IFERROR(__xludf.DUMMYFUNCTION("IMPORTRANGE(""https://docs.google.com/spreadsheets/d/1XL5vhW3sbDhbH9Cz0tuDiY8C3ctxq1tqvaCgkFb8cCA/edit#gid=346597447"",""อุบลราชธานี!J543"")"),0)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1"/>
      <c r="N648" s="536">
        <f ca="1">IFERROR(__xludf.DUMMYFUNCTION("IMPORTRANGE(""https://docs.google.com/spreadsheets/d/1XL5vhW3sbDhbH9Cz0tuDiY8C3ctxq1tqvaCgkFb8cCA/edit#gid=346597447"",""อุบลราชธานี!M543"")"),0)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IFERROR(__xludf.DUMMYFUNCTION("IMPORTRANGE(""https://docs.google.com/spreadsheets/d/1XL5vhW3sbDhbH9Cz0tuDiY8C3ctxq1tqvaCgkFb8cCA/edit#gid=346597447"",""อุบลราชธานี!I544"")"),10)</f>
        <v>10</v>
      </c>
      <c r="J649" s="534">
        <f ca="1">IFERROR(__xludf.DUMMYFUNCTION("IMPORTRANGE(""https://docs.google.com/spreadsheets/d/1XL5vhW3sbDhbH9Cz0tuDiY8C3ctxq1tqvaCgkFb8cCA/edit#gid=346597447"",""อุบลราชธานี!J544"")"),0)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1"/>
      <c r="N649" s="536">
        <f ca="1">IFERROR(__xludf.DUMMYFUNCTION("IMPORTRANGE(""https://docs.google.com/spreadsheets/d/1XL5vhW3sbDhbH9Cz0tuDiY8C3ctxq1tqvaCgkFb8cCA/edit#gid=346597447"",""อุบลราชธานี!M544"")"),0)</f>
        <v>0</v>
      </c>
      <c r="O649" s="535">
        <f t="shared" ca="1" si="132"/>
        <v>0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IFERROR(__xludf.DUMMYFUNCTION("IMPORTRANGE(""https://docs.google.com/spreadsheets/d/1XL5vhW3sbDhbH9Cz0tuDiY8C3ctxq1tqvaCgkFb8cCA/edit#gid=346597447"",""อุบลราชธานี!I545"")"),0)</f>
        <v>0</v>
      </c>
      <c r="J650" s="534">
        <f ca="1">IFERROR(__xludf.DUMMYFUNCTION("IMPORTRANGE(""https://docs.google.com/spreadsheets/d/1XL5vhW3sbDhbH9Cz0tuDiY8C3ctxq1tqvaCgkFb8cCA/edit#gid=346597447"",""อุบลราชธานี!J545"")"),0)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IFERROR(__xludf.DUMMYFUNCTION("IMPORTRANGE(""https://docs.google.com/spreadsheets/d/1XL5vhW3sbDhbH9Cz0tuDiY8C3ctxq1tqvaCgkFb8cCA/edit#gid=346597447"",""อุบลราชธานี!L545"")"),0)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IFERROR(__xludf.DUMMYFUNCTION("IMPORTRANGE(""https://docs.google.com/spreadsheets/d/1XL5vhW3sbDhbH9Cz0tuDiY8C3ctxq1tqvaCgkFb8cCA/edit#gid=346597447"",""อุบลราชธานี!M545"")"),0)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IFERROR(__xludf.DUMMYFUNCTION("IMPORTRANGE(""https://docs.google.com/spreadsheets/d/1XL5vhW3sbDhbH9Cz0tuDiY8C3ctxq1tqvaCgkFb8cCA/edit#gid=346597447"",""อุบลราชธานี!I546"")"),0)</f>
        <v>0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IFERROR(__xludf.DUMMYFUNCTION("IMPORTRANGE(""https://docs.google.com/spreadsheets/d/1XL5vhW3sbDhbH9Cz0tuDiY8C3ctxq1tqvaCgkFb8cCA/edit#gid=346597447"",""อุบลราชธานี!L546"")"),0)</f>
        <v>0</v>
      </c>
      <c r="M651" s="521"/>
      <c r="N651" s="536">
        <f ca="1">IFERROR(__xludf.DUMMYFUNCTION("IMPORTRANGE(""https://docs.google.com/spreadsheets/d/1XL5vhW3sbDhbH9Cz0tuDiY8C3ctxq1tqvaCgkFb8cCA/edit#gid=346597447"",""อุบลราชธานี!M546"")"),0)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IFERROR(__xludf.DUMMYFUNCTION("IMPORTRANGE(""https://docs.google.com/spreadsheets/d/1XL5vhW3sbDhbH9Cz0tuDiY8C3ctxq1tqvaCgkFb8cCA/edit#gid=346597447"",""อุบลราชธานี!J547"")"),0)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IFERROR(__xludf.DUMMYFUNCTION("IMPORTRANGE(""https://docs.google.com/spreadsheets/d/1XL5vhW3sbDhbH9Cz0tuDiY8C3ctxq1tqvaCgkFb8cCA/edit#gid=346597447"",""อุบลราชธานี!J548"")"),0)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IFERROR(__xludf.DUMMYFUNCTION("IMPORTRANGE(""https://docs.google.com/spreadsheets/d/1XL5vhW3sbDhbH9Cz0tuDiY8C3ctxq1tqvaCgkFb8cCA/edit#gid=346597447"",""อุบลราชธานี!J550"")"),0)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IFERROR(__xludf.DUMMYFUNCTION("IMPORTRANGE(""https://docs.google.com/spreadsheets/d/1XL5vhW3sbDhbH9Cz0tuDiY8C3ctxq1tqvaCgkFb8cCA/edit#gid=346597447"",""อุบลราชธานี!J551"")"),0)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IFERROR(__xludf.DUMMYFUNCTION("IMPORTRANGE(""https://docs.google.com/spreadsheets/d/1XL5vhW3sbDhbH9Cz0tuDiY8C3ctxq1tqvaCgkFb8cCA/edit#gid=346597447"",""อุบลราชธานี!J552"")"),0)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IFERROR(__xludf.DUMMYFUNCTION("IMPORTRANGE(""https://docs.google.com/spreadsheets/d/1XL5vhW3sbDhbH9Cz0tuDiY8C3ctxq1tqvaCgkFb8cCA/edit#gid=346597447"",""อุบลราชธานี!J553"")"),0)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IFERROR(__xludf.DUMMYFUNCTION("IMPORTRANGE(""https://docs.google.com/spreadsheets/d/1XL5vhW3sbDhbH9Cz0tuDiY8C3ctxq1tqvaCgkFb8cCA/edit#gid=346597447"",""อุบลราชธานี!J554"")"),0)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IFERROR(__xludf.DUMMYFUNCTION("IMPORTRANGE(""https://docs.google.com/spreadsheets/d/1XL5vhW3sbDhbH9Cz0tuDiY8C3ctxq1tqvaCgkFb8cCA/edit#gid=346597447"",""อุบลราชธานี!J555"")"),0)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IFERROR(__xludf.DUMMYFUNCTION("IMPORTRANGE(""https://docs.google.com/spreadsheets/d/1XL5vhW3sbDhbH9Cz0tuDiY8C3ctxq1tqvaCgkFb8cCA/edit#gid=346597447"",""อุบลราชธานี!J556"")"),0)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IFERROR(__xludf.DUMMYFUNCTION("IMPORTRANGE(""https://docs.google.com/spreadsheets/d/1XL5vhW3sbDhbH9Cz0tuDiY8C3ctxq1tqvaCgkFb8cCA/edit#gid=346597447"",""อุบลราชธานี!L556"")"),0)</f>
        <v>0</v>
      </c>
      <c r="M661" s="521"/>
      <c r="N661" s="536">
        <f ca="1">IFERROR(__xludf.DUMMYFUNCTION("IMPORTRANGE(""https://docs.google.com/spreadsheets/d/1XL5vhW3sbDhbH9Cz0tuDiY8C3ctxq1tqvaCgkFb8cCA/edit#gid=346597447"",""อุบลราชธานี!M556"")"),0)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IFERROR(__xludf.DUMMYFUNCTION("IMPORTRANGE(""https://docs.google.com/spreadsheets/d/1XL5vhW3sbDhbH9Cz0tuDiY8C3ctxq1tqvaCgkFb8cCA/edit#gid=346597447"",""อุบลราชธานี!J557"")"),0)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IFERROR(__xludf.DUMMYFUNCTION("IMPORTRANGE(""https://docs.google.com/spreadsheets/d/1XL5vhW3sbDhbH9Cz0tuDiY8C3ctxq1tqvaCgkFb8cCA/edit#gid=346597447"",""อุบลราชธานี!I558"")"),0)</f>
        <v>0</v>
      </c>
      <c r="J663" s="534">
        <f ca="1">IFERROR(__xludf.DUMMYFUNCTION("IMPORTRANGE(""https://docs.google.com/spreadsheets/d/1XL5vhW3sbDhbH9Cz0tuDiY8C3ctxq1tqvaCgkFb8cCA/edit#gid=346597447"",""อุบลราชธานี!J558"")"),0)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IFERROR(__xludf.DUMMYFUNCTION("IMPORTRANGE(""https://docs.google.com/spreadsheets/d/1XL5vhW3sbDhbH9Cz0tuDiY8C3ctxq1tqvaCgkFb8cCA/edit#gid=346597447"",""อุบลราชธานี!I560"")"),0)</f>
        <v>0</v>
      </c>
      <c r="J665" s="534">
        <f ca="1">IFERROR(__xludf.DUMMYFUNCTION("IMPORTRANGE(""https://docs.google.com/spreadsheets/d/1XL5vhW3sbDhbH9Cz0tuDiY8C3ctxq1tqvaCgkFb8cCA/edit#gid=346597447"",""อุบลราชธานี!J560"")"),0)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IFERROR(__xludf.DUMMYFUNCTION("IMPORTRANGE(""https://docs.google.com/spreadsheets/d/1XL5vhW3sbDhbH9Cz0tuDiY8C3ctxq1tqvaCgkFb8cCA/edit#gid=346597447"",""อุบลราชธานี!L560"")"),0)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IFERROR(__xludf.DUMMYFUNCTION("IMPORTRANGE(""https://docs.google.com/spreadsheets/d/1XL5vhW3sbDhbH9Cz0tuDiY8C3ctxq1tqvaCgkFb8cCA/edit#gid=346597447"",""อุบลราชธานี!M560"")"),0)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IFERROR(__xludf.DUMMYFUNCTION("IMPORTRANGE(""https://docs.google.com/spreadsheets/d/1XL5vhW3sbDhbH9Cz0tuDiY8C3ctxq1tqvaCgkFb8cCA/edit#gid=346597447"",""อุบลราชธานี!J561"")"),0)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IFERROR(__xludf.DUMMYFUNCTION("IMPORTRANGE(""https://docs.google.com/spreadsheets/d/1XL5vhW3sbDhbH9Cz0tuDiY8C3ctxq1tqvaCgkFb8cCA/edit#gid=346597447"",""อุบลราชธานี!J562"")"),0)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IFERROR(__xludf.DUMMYFUNCTION("IMPORTRANGE(""https://docs.google.com/spreadsheets/d/1XL5vhW3sbDhbH9Cz0tuDiY8C3ctxq1tqvaCgkFb8cCA/edit#gid=346597447"",""อุบลราชธานี!I563"")"),0)</f>
        <v>0</v>
      </c>
      <c r="J668" s="534">
        <f ca="1">IFERROR(__xludf.DUMMYFUNCTION("IMPORTRANGE(""https://docs.google.com/spreadsheets/d/1XL5vhW3sbDhbH9Cz0tuDiY8C3ctxq1tqvaCgkFb8cCA/edit#gid=346597447"",""อุบลราชธานี!J563"")"),0)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IFERROR(__xludf.DUMMYFUNCTION("IMPORTRANGE(""https://docs.google.com/spreadsheets/d/1XL5vhW3sbDhbH9Cz0tuDiY8C3ctxq1tqvaCgkFb8cCA/edit#gid=346597447"",""อุบลราชธานี!L563"")"),0)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IFERROR(__xludf.DUMMYFUNCTION("IMPORTRANGE(""https://docs.google.com/spreadsheets/d/1XL5vhW3sbDhbH9Cz0tuDiY8C3ctxq1tqvaCgkFb8cCA/edit#gid=346597447"",""อุบลราชธานี!M563"")"),0)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IFERROR(__xludf.DUMMYFUNCTION("IMPORTRANGE(""https://docs.google.com/spreadsheets/d/1XL5vhW3sbDhbH9Cz0tuDiY8C3ctxq1tqvaCgkFb8cCA/edit#gid=346597447"",""อุบลราชธานี!J564"")"),0)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IFERROR(__xludf.DUMMYFUNCTION("IMPORTRANGE(""https://docs.google.com/spreadsheets/d/1XL5vhW3sbDhbH9Cz0tuDiY8C3ctxq1tqvaCgkFb8cCA/edit#gid=346597447"",""อุบลราชธานี!J565"")"),0)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IFERROR(__xludf.DUMMYFUNCTION("IMPORTRANGE(""https://docs.google.com/spreadsheets/d/1XL5vhW3sbDhbH9Cz0tuDiY8C3ctxq1tqvaCgkFb8cCA/edit#gid=346597447"",""อุบลราชธานี!I566"")"),0)</f>
        <v>0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IFERROR(__xludf.DUMMYFUNCTION("IMPORTRANGE(""https://docs.google.com/spreadsheets/d/1XL5vhW3sbDhbH9Cz0tuDiY8C3ctxq1tqvaCgkFb8cCA/edit#gid=346597447"",""อุบลราชธานี!L566"")"),0)</f>
        <v>0</v>
      </c>
      <c r="M671" s="521"/>
      <c r="N671" s="536">
        <f ca="1">IFERROR(__xludf.DUMMYFUNCTION("IMPORTRANGE(""https://docs.google.com/spreadsheets/d/1XL5vhW3sbDhbH9Cz0tuDiY8C3ctxq1tqvaCgkFb8cCA/edit#gid=346597447"",""อุบลราชธานี!M566"")"),0)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IFERROR(__xludf.DUMMYFUNCTION("IMPORTRANGE(""https://docs.google.com/spreadsheets/d/1XL5vhW3sbDhbH9Cz0tuDiY8C3ctxq1tqvaCgkFb8cCA/edit#gid=346597447"",""อุบลราชธานี!J567"")"),0)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IFERROR(__xludf.DUMMYFUNCTION("IMPORTRANGE(""https://docs.google.com/spreadsheets/d/1XL5vhW3sbDhbH9Cz0tuDiY8C3ctxq1tqvaCgkFb8cCA/edit#gid=346597447"",""อุบลราชธานี!J568"")"),0)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IFERROR(__xludf.DUMMYFUNCTION("IMPORTRANGE(""https://docs.google.com/spreadsheets/d/1XL5vhW3sbDhbH9Cz0tuDiY8C3ctxq1tqvaCgkFb8cCA/edit#gid=346597447"",""อุบลราชธานี!J569"")"),0)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IFERROR(__xludf.DUMMYFUNCTION("IMPORTRANGE(""https://docs.google.com/spreadsheets/d/1XL5vhW3sbDhbH9Cz0tuDiY8C3ctxq1tqvaCgkFb8cCA/edit#gid=346597447"",""อุบลราชธานี!J570"")"),0)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IFERROR(__xludf.DUMMYFUNCTION("IMPORTRANGE(""https://docs.google.com/spreadsheets/d/1XL5vhW3sbDhbH9Cz0tuDiY8C3ctxq1tqvaCgkFb8cCA/edit#gid=346597447"",""อุบลราชธานี!J571"")"),0)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IFERROR(__xludf.DUMMYFUNCTION("IMPORTRANGE(""https://docs.google.com/spreadsheets/d/1XL5vhW3sbDhbH9Cz0tuDiY8C3ctxq1tqvaCgkFb8cCA/edit#gid=346597447"",""อุบลราชธานี!J572"")"),0)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7065907</v>
      </c>
      <c r="M8" s="23">
        <f t="shared" ca="1" si="0"/>
        <v>4468656</v>
      </c>
      <c r="N8" s="23">
        <f t="shared" ca="1" si="0"/>
        <v>5790957.2400000002</v>
      </c>
      <c r="O8" s="22">
        <f t="shared" ref="O8:O16" ca="1" si="1">IF(L8&gt;0,N8*100/L8,0)</f>
        <v>81.956318417437416</v>
      </c>
      <c r="P8" s="22">
        <f t="shared" ref="P8:P16" ca="1" si="2">IF(M8&gt;0,N8*100/M8,0)</f>
        <v>129.59058025500283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7065907</v>
      </c>
      <c r="M10" s="30">
        <f t="shared" ca="1" si="4"/>
        <v>4468656</v>
      </c>
      <c r="N10" s="30">
        <f t="shared" ca="1" si="4"/>
        <v>5790957.2400000002</v>
      </c>
      <c r="O10" s="29">
        <f t="shared" ca="1" si="1"/>
        <v>81.956318417437416</v>
      </c>
      <c r="P10" s="29">
        <f t="shared" ca="1" si="2"/>
        <v>129.59058025500283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6816507</v>
      </c>
      <c r="M12" s="38">
        <f t="shared" ca="1" si="6"/>
        <v>4219256</v>
      </c>
      <c r="N12" s="38">
        <f t="shared" ca="1" si="6"/>
        <v>5541557.2400000002</v>
      </c>
      <c r="O12" s="38">
        <f t="shared" ca="1" si="1"/>
        <v>81.296142437761745</v>
      </c>
      <c r="P12" s="38">
        <f t="shared" ca="1" si="2"/>
        <v>131.3396778958186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4231007</v>
      </c>
      <c r="M14" s="38">
        <f t="shared" si="8"/>
        <v>0</v>
      </c>
      <c r="N14" s="38">
        <f t="shared" ca="1" si="8"/>
        <v>1645497.4200000002</v>
      </c>
      <c r="O14" s="38">
        <f t="shared" ca="1" si="1"/>
        <v>38.891389685717854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4319986</v>
      </c>
      <c r="M18" s="23">
        <f t="shared" ca="1" si="11"/>
        <v>4468656</v>
      </c>
      <c r="N18" s="23">
        <f t="shared" ca="1" si="11"/>
        <v>4145459.82</v>
      </c>
      <c r="O18" s="22">
        <f t="shared" ref="O18:O20" ca="1" si="12">IF(L18&gt;0,N18*100/L18,0)</f>
        <v>95.960029037131136</v>
      </c>
      <c r="P18" s="22">
        <f t="shared" ref="P18:P26" ca="1" si="13">IF(M18&gt;0,N18*100/M18,0)</f>
        <v>92.767485794386502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4319986</v>
      </c>
      <c r="M20" s="30">
        <f t="shared" ca="1" si="15"/>
        <v>4468656</v>
      </c>
      <c r="N20" s="30">
        <f t="shared" ca="1" si="15"/>
        <v>4145459.82</v>
      </c>
      <c r="O20" s="29">
        <f t="shared" ca="1" si="12"/>
        <v>95.960029037131136</v>
      </c>
      <c r="P20" s="29">
        <f t="shared" ca="1" si="13"/>
        <v>92.767485794386502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4070586</v>
      </c>
      <c r="M22" s="41">
        <f t="shared" ca="1" si="18"/>
        <v>4219256</v>
      </c>
      <c r="N22" s="38">
        <f t="shared" ca="1" si="18"/>
        <v>3896059.82</v>
      </c>
      <c r="O22" s="38">
        <f t="shared" ca="1" si="17"/>
        <v>95.712504784323443</v>
      </c>
      <c r="P22" s="38">
        <f t="shared" ca="1" si="13"/>
        <v>92.339972260512283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1485086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2745921</v>
      </c>
      <c r="M28" s="23">
        <f t="shared" si="23"/>
        <v>0</v>
      </c>
      <c r="N28" s="23">
        <f t="shared" ca="1" si="23"/>
        <v>1645497.4200000002</v>
      </c>
      <c r="O28" s="22">
        <f t="shared" ref="O28:O30" ca="1" si="24">IF(L28&gt;0,N28*100/L28,0)</f>
        <v>59.925155166517911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2745921</v>
      </c>
      <c r="M30" s="30">
        <f t="shared" si="27"/>
        <v>0</v>
      </c>
      <c r="N30" s="30">
        <f t="shared" ca="1" si="27"/>
        <v>1645497.4200000002</v>
      </c>
      <c r="O30" s="29">
        <f t="shared" ca="1" si="24"/>
        <v>59.925155166517911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2745921</v>
      </c>
      <c r="M32" s="38">
        <f t="shared" si="30"/>
        <v>0</v>
      </c>
      <c r="N32" s="38">
        <f t="shared" ca="1" si="30"/>
        <v>1645497.4200000002</v>
      </c>
      <c r="O32" s="38">
        <f t="shared" ca="1" si="29"/>
        <v>59.925155166517911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2745921</v>
      </c>
      <c r="M34" s="38">
        <f t="shared" si="32"/>
        <v>0</v>
      </c>
      <c r="N34" s="38">
        <f t="shared" ca="1" si="32"/>
        <v>1645497.4200000002</v>
      </c>
      <c r="O34" s="38">
        <f t="shared" ca="1" si="29"/>
        <v>59.925155166517911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4319986</v>
      </c>
      <c r="M37" s="54">
        <f t="shared" ca="1" si="33"/>
        <v>4468656</v>
      </c>
      <c r="N37" s="54">
        <f t="shared" ca="1" si="33"/>
        <v>4145459.82</v>
      </c>
      <c r="O37" s="55">
        <f t="shared" ca="1" si="29"/>
        <v>95.960029037131136</v>
      </c>
      <c r="P37" s="55">
        <f t="shared" ca="1" si="25"/>
        <v>92.767485794386502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888800</v>
      </c>
      <c r="N41" s="78">
        <f t="shared" ca="1" si="34"/>
        <v>826334.48</v>
      </c>
      <c r="O41" s="77">
        <f t="shared" ref="O41:O43" ca="1" si="35">IF(L41&gt;0,N41*100/L41,0)</f>
        <v>92.971926192619264</v>
      </c>
      <c r="P41" s="77">
        <f t="shared" ref="P41:P43" ca="1" si="36">IF(M41&gt;0,N41*100/M41,0)</f>
        <v>92.971926192619264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888800</v>
      </c>
      <c r="N43" s="78">
        <f t="shared" ca="1" si="38"/>
        <v>826334.48</v>
      </c>
      <c r="O43" s="77">
        <f t="shared" ca="1" si="35"/>
        <v>92.971926192619264</v>
      </c>
      <c r="P43" s="77">
        <f t="shared" ca="1" si="36"/>
        <v>92.971926192619264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IFERROR(__xludf.DUMMYFUNCTION("IMPORTRANGE(""https://docs.google.com/spreadsheets/d/1Yj_ptqi66GCucihVvJfMjLAmec39IyEx_6qawtMGysU/edit?usp=sharing"",""สบก!Q39"")"),888800)</f>
        <v>888800</v>
      </c>
      <c r="N45" s="49">
        <f ca="1">IFERROR(__xludf.DUMMYFUNCTION("IMPORTRANGE(""https://docs.google.com/spreadsheets/d/1Yj_ptqi66GCucihVvJfMjLAmec39IyEx_6qawtMGysU/edit?usp=sharing"",""สบก!R39"")"),826334.48)</f>
        <v>826334.48</v>
      </c>
      <c r="O45" s="38">
        <f ca="1">IF(L45&gt;0,N45*100/L45,0)</f>
        <v>92.971926192619264</v>
      </c>
      <c r="P45" s="38">
        <f ca="1">IF(M45&gt;0,N45*100/M45,0)</f>
        <v>92.971926192619264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825550</v>
      </c>
      <c r="N53" s="121">
        <f t="shared" ca="1" si="39"/>
        <v>791136</v>
      </c>
      <c r="O53" s="120">
        <f t="shared" ref="O53:O55" ca="1" si="40">IF(L53&gt;0,N53*100/L53,0)</f>
        <v>108.97190082644629</v>
      </c>
      <c r="P53" s="120">
        <f t="shared" ref="P53:P55" ca="1" si="41">IF(M53&gt;0,N53*100/M53,0)</f>
        <v>95.831385137181272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825550</v>
      </c>
      <c r="N55" s="121">
        <f t="shared" ca="1" si="43"/>
        <v>791136</v>
      </c>
      <c r="O55" s="120">
        <f t="shared" ca="1" si="40"/>
        <v>108.97190082644629</v>
      </c>
      <c r="P55" s="120">
        <f t="shared" ca="1" si="41"/>
        <v>95.831385137181272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IFERROR(__xludf.DUMMYFUNCTION("IMPORTRANGE(""https://docs.google.com/spreadsheets/d/1Yj_ptqi66GCucihVvJfMjLAmec39IyEx_6qawtMGysU/edit?usp=sharing"",""สบก!Z39"")"),825550)</f>
        <v>825550</v>
      </c>
      <c r="N57" s="49">
        <f ca="1">IFERROR(__xludf.DUMMYFUNCTION("IMPORTRANGE(""https://docs.google.com/spreadsheets/d/1Yj_ptqi66GCucihVvJfMjLAmec39IyEx_6qawtMGysU/edit?usp=sharing"",""สบก!AA39"")"),791136)</f>
        <v>791136</v>
      </c>
      <c r="O57" s="38">
        <f ca="1">IF(L57&gt;0,N57*100/L57,0)</f>
        <v>108.97190082644629</v>
      </c>
      <c r="P57" s="38">
        <f ca="1">IF(M57&gt;0,N57*100/M57,0)</f>
        <v>95.831385137181272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1058920</v>
      </c>
      <c r="N66" s="152">
        <f t="shared" ca="1" si="45"/>
        <v>1013445.77</v>
      </c>
      <c r="O66" s="151">
        <f t="shared" ref="O66:O68" ca="1" si="46">IF(L66&gt;0,N66*100/L66,0)</f>
        <v>96.307685070797305</v>
      </c>
      <c r="P66" s="151">
        <f t="shared" ref="P66:P68" ca="1" si="47">IF(M66&gt;0,N66*100/M66,0)</f>
        <v>95.705602878404406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1058920</v>
      </c>
      <c r="N68" s="157">
        <f t="shared" ca="1" si="49"/>
        <v>1013445.77</v>
      </c>
      <c r="O68" s="156">
        <f t="shared" ca="1" si="46"/>
        <v>96.307685070797305</v>
      </c>
      <c r="P68" s="156">
        <f t="shared" ca="1" si="47"/>
        <v>95.705602878404406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912300</v>
      </c>
      <c r="M70" s="168">
        <f ca="1">IFERROR(__xludf.DUMMYFUNCTION("IMPORTRANGE(""https://docs.google.com/spreadsheets/d/1Yj_ptqi66GCucihVvJfMjLAmec39IyEx_6qawtMGysU/edit?usp=sharing"",""สบก!AI39"")"),918920)</f>
        <v>918920</v>
      </c>
      <c r="N70" s="169">
        <f ca="1">IFERROR(__xludf.DUMMYFUNCTION("IMPORTRANGE(""https://docs.google.com/spreadsheets/d/1Yj_ptqi66GCucihVvJfMjLAmec39IyEx_6qawtMGysU/edit?usp=sharing"",""สบก!AJ39"")"),873445.77)</f>
        <v>873445.77</v>
      </c>
      <c r="O70" s="169">
        <f ca="1">IF(L70&gt;0,N70*100/L70,0)</f>
        <v>95.741068727392303</v>
      </c>
      <c r="P70" s="169">
        <f ca="1">IF(M70&gt;0,N70*100/M70,0)</f>
        <v>95.051339616071033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IFERROR(__xludf.DUMMYFUNCTION("IMPORTRANGE(""https://docs.google.com/spreadsheets/d/1Yj_ptqi66GCucihVvJfMjLAmec39IyEx_6qawtMGysU/edit?usp=sharing"",""สบก!AF39"")"),442000)</f>
        <v>442000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IFERROR(__xludf.DUMMYFUNCTION("IMPORTRANGE(""https://docs.google.com/spreadsheets/d/1XL5vhW3sbDhbH9Cz0tuDiY8C3ctxq1tqvaCgkFb8cCA/edit?usp=sharing"",""ขอนแก่น!I28"")"),1)</f>
        <v>1</v>
      </c>
      <c r="J88" s="204">
        <f ca="1">IFERROR(__xludf.DUMMYFUNCTION("IMPORTRANGE(""https://docs.google.com/spreadsheets/d/1XL5vhW3sbDhbH9Cz0tuDiY8C3ctxq1tqvaCgkFb8cCA/edit?usp=sharing"",""ขอนแก่น!J28"")"),1)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IFERROR(__xludf.DUMMYFUNCTION("IMPORTRANGE(""https://docs.google.com/spreadsheets/d/1XL5vhW3sbDhbH9Cz0tuDiY8C3ctxq1tqvaCgkFb8cCA/edit?usp=sharing"",""ขอนแก่น!J30"")"),0)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146587.9</v>
      </c>
      <c r="O94" s="151">
        <f t="shared" ref="O94:O96" ca="1" si="53">IF(L94&gt;0,N94*100/L94,0)</f>
        <v>68.339347319347326</v>
      </c>
      <c r="P94" s="151">
        <f t="shared" ref="P94:P96" ca="1" si="54">IF(M94&gt;0,N94*100/M94,0)</f>
        <v>68.339347319347326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146587.9</v>
      </c>
      <c r="O96" s="156">
        <f t="shared" ca="1" si="53"/>
        <v>68.339347319347326</v>
      </c>
      <c r="P96" s="156">
        <f t="shared" ca="1" si="54"/>
        <v>68.339347319347326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IFERROR(__xludf.DUMMYFUNCTION("IMPORTRANGE(""https://docs.google.com/spreadsheets/d/1Yj_ptqi66GCucihVvJfMjLAmec39IyEx_6qawtMGysU/edit?usp=sharing"",""สบก!AR39"")"),122100)</f>
        <v>122100</v>
      </c>
      <c r="N98" s="169">
        <f ca="1">IFERROR(__xludf.DUMMYFUNCTION("IMPORTRANGE(""https://docs.google.com/spreadsheets/d/1Yj_ptqi66GCucihVvJfMjLAmec39IyEx_6qawtMGysU/edit?usp=sharing"",""สบก!AS39"")"),54187.9)</f>
        <v>54187.9</v>
      </c>
      <c r="O98" s="169">
        <f ca="1">IF(L98&gt;0,N98*100/L98,0)</f>
        <v>44.379934479934477</v>
      </c>
      <c r="P98" s="169">
        <f ca="1">IF(M98&gt;0,N98*100/M98,0)</f>
        <v>44.379934479934477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3636</v>
      </c>
      <c r="M118" s="152">
        <f t="shared" ca="1" si="58"/>
        <v>3636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3636</v>
      </c>
      <c r="M120" s="157">
        <f t="shared" ca="1" si="62"/>
        <v>3636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3636</v>
      </c>
      <c r="M122" s="168">
        <f ca="1">IFERROR(__xludf.DUMMYFUNCTION("IMPORTRANGE(""https://docs.google.com/spreadsheets/d/1Yj_ptqi66GCucihVvJfMjLAmec39IyEx_6qawtMGysU/edit?usp=sharing"",""สบก!BA39"")"),3636)</f>
        <v>3636</v>
      </c>
      <c r="N122" s="169">
        <f ca="1">IFERROR(__xludf.DUMMYFUNCTION("IMPORTRANGE(""https://docs.google.com/spreadsheets/d/1Yj_ptqi66GCucihVvJfMjLAmec39IyEx_6qawtMGysU/edit?usp=sharing"",""สบก!BB39"")"),0)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IFERROR(__xludf.DUMMYFUNCTION("IMPORTRANGE(""https://docs.google.com/spreadsheets/d/1Yj_ptqi66GCucihVvJfMjLAmec39IyEx_6qawtMGysU/edit?usp=sharing"",""สบก!AX39"")"),3636)</f>
        <v>3636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77000</v>
      </c>
      <c r="M140" s="152">
        <f t="shared" ca="1" si="64"/>
        <v>77000</v>
      </c>
      <c r="N140" s="152">
        <f t="shared" ca="1" si="64"/>
        <v>71591.5</v>
      </c>
      <c r="O140" s="151">
        <f t="shared" ref="O140:O142" ca="1" si="65">IF(L140&gt;0,N140*100/L140,0)</f>
        <v>92.975974025974025</v>
      </c>
      <c r="P140" s="151">
        <f t="shared" ref="P140:P142" ca="1" si="66">IF(M140&gt;0,N140*100/M140,0)</f>
        <v>92.975974025974025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77000</v>
      </c>
      <c r="M142" s="157">
        <f t="shared" ca="1" si="68"/>
        <v>77000</v>
      </c>
      <c r="N142" s="157">
        <f t="shared" ca="1" si="68"/>
        <v>71591.5</v>
      </c>
      <c r="O142" s="156">
        <f t="shared" ca="1" si="65"/>
        <v>92.975974025974025</v>
      </c>
      <c r="P142" s="156">
        <f t="shared" ca="1" si="66"/>
        <v>92.975974025974025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77000</v>
      </c>
      <c r="M144" s="168">
        <f ca="1">IFERROR(__xludf.DUMMYFUNCTION("IMPORTRANGE(""https://docs.google.com/spreadsheets/d/1Yj_ptqi66GCucihVvJfMjLAmec39IyEx_6qawtMGysU/edit?usp=sharing"",""สบก!BJ39"")"),77000)</f>
        <v>77000</v>
      </c>
      <c r="N144" s="169">
        <f ca="1">IFERROR(__xludf.DUMMYFUNCTION("IMPORTRANGE(""https://docs.google.com/spreadsheets/d/1Yj_ptqi66GCucihVvJfMjLAmec39IyEx_6qawtMGysU/edit?usp=sharing"",""สบก!BK39"")"),71591.5)</f>
        <v>71591.5</v>
      </c>
      <c r="O144" s="169">
        <f ca="1">IF(L144&gt;0,N144*100/L144,0)</f>
        <v>92.975974025974025</v>
      </c>
      <c r="P144" s="169">
        <f ca="1">IF(M144&gt;0,N144*100/M144,0)</f>
        <v>92.975974025974025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IFERROR(__xludf.DUMMYFUNCTION("IMPORTRANGE(""https://docs.google.com/spreadsheets/d/1Yj_ptqi66GCucihVvJfMjLAmec39IyEx_6qawtMGysU/edit?usp=sharing"",""สบก!BG39"")"),77000)</f>
        <v>77000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IFERROR(__xludf.DUMMYFUNCTION("IMPORTRANGE(""https://docs.google.com/spreadsheets/d/1XL5vhW3sbDhbH9Cz0tuDiY8C3ctxq1tqvaCgkFb8cCA/edit?usp=sharing"",""ขอนแก่น!I89"")"),3)</f>
        <v>3</v>
      </c>
      <c r="J164" s="285">
        <f ca="1">IFERROR(__xludf.DUMMYFUNCTION("IMPORTRANGE(""https://docs.google.com/spreadsheets/d/1XL5vhW3sbDhbH9Cz0tuDiY8C3ctxq1tqvaCgkFb8cCA/edit?usp=sharing"",""ขอนแก่น!J89"")"),3)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IFERROR(__xludf.DUMMYFUNCTION("IMPORTRANGE(""https://docs.google.com/spreadsheets/d/1XL5vhW3sbDhbH9Cz0tuDiY8C3ctxq1tqvaCgkFb8cCA/edit?usp=sharing"",""ขอนแก่น!J100"")"),0)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IFERROR(__xludf.DUMMYFUNCTION("IMPORTRANGE(""https://docs.google.com/spreadsheets/d/1XL5vhW3sbDhbH9Cz0tuDiY8C3ctxq1tqvaCgkFb8cCA/edit?usp=sharing"",""ขอนแก่น!I101"")"),0)</f>
        <v>0</v>
      </c>
      <c r="J176" s="285">
        <f ca="1">IFERROR(__xludf.DUMMYFUNCTION("IMPORTRANGE(""https://docs.google.com/spreadsheets/d/1XL5vhW3sbDhbH9Cz0tuDiY8C3ctxq1tqvaCgkFb8cCA/edit?usp=sharing"",""ขอนแก่น!J101"")"),0)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IFERROR(__xludf.DUMMYFUNCTION("IMPORTRANGE(""https://docs.google.com/spreadsheets/d/1XL5vhW3sbDhbH9Cz0tuDiY8C3ctxq1tqvaCgkFb8cCA/edit?usp=sharing"",""ขอนแก่น!I114"")"),50000)</f>
        <v>50000</v>
      </c>
      <c r="J189" s="285">
        <f ca="1">IFERROR(__xludf.DUMMYFUNCTION("IMPORTRANGE(""https://docs.google.com/spreadsheets/d/1XL5vhW3sbDhbH9Cz0tuDiY8C3ctxq1tqvaCgkFb8cCA/edit?usp=sharing"",""ขอนแก่น!J114"")"),50000)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IFERROR(__xludf.DUMMYFUNCTION("IMPORTRANGE(""https://docs.google.com/spreadsheets/d/1XL5vhW3sbDhbH9Cz0tuDiY8C3ctxq1tqvaCgkFb8cCA/edit?usp=sharing"",""ขอนแก่น!J128"")"),0)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IFERROR(__xludf.DUMMYFUNCTION("IMPORTRANGE(""https://docs.google.com/spreadsheets/d/1XL5vhW3sbDhbH9Cz0tuDiY8C3ctxq1tqvaCgkFb8cCA/edit?usp=sharing"",""ขอนแก่น!I129"")"),0)</f>
        <v>0</v>
      </c>
      <c r="J204" s="285">
        <f ca="1">IFERROR(__xludf.DUMMYFUNCTION("IMPORTRANGE(""https://docs.google.com/spreadsheets/d/1XL5vhW3sbDhbH9Cz0tuDiY8C3ctxq1tqvaCgkFb8cCA/edit?usp=sharing"",""ขอนแก่น!J129"")"),0)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IFERROR(__xludf.DUMMYFUNCTION("IMPORTRANGE(""https://docs.google.com/spreadsheets/d/1XL5vhW3sbDhbH9Cz0tuDiY8C3ctxq1tqvaCgkFb8cCA/edit?usp=sharing"",""ขอนแก่น!I169"")"),0)</f>
        <v>0</v>
      </c>
      <c r="J249" s="317">
        <f ca="1">IFERROR(__xludf.DUMMYFUNCTION("IMPORTRANGE(""https://docs.google.com/spreadsheets/d/1XL5vhW3sbDhbH9Cz0tuDiY8C3ctxq1tqvaCgkFb8cCA/edit?usp=sharing"",""ขอนแก่น!J169"")"),0)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IFERROR(__xludf.DUMMYFUNCTION("IMPORTRANGE(""https://docs.google.com/spreadsheets/d/1XL5vhW3sbDhbH9Cz0tuDiY8C3ctxq1tqvaCgkFb8cCA/edit?usp=sharing"",""ขอนแก่น!J184"")"),0)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IFERROR(__xludf.DUMMYFUNCTION("IMPORTRANGE(""https://docs.google.com/spreadsheets/d/1XL5vhW3sbDhbH9Cz0tuDiY8C3ctxq1tqvaCgkFb8cCA/edit?usp=sharing"",""ขอนแก่น!I185"")"),15)</f>
        <v>15</v>
      </c>
      <c r="J270" s="317">
        <f ca="1">IFERROR(__xludf.DUMMYFUNCTION("IMPORTRANGE(""https://docs.google.com/spreadsheets/d/1XL5vhW3sbDhbH9Cz0tuDiY8C3ctxq1tqvaCgkFb8cCA/edit?usp=sharing"",""ขอนแก่น!J185"")"),15)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48575</v>
      </c>
      <c r="O271" s="151">
        <f t="shared" ref="O271:O273" ca="1" si="84">IF(L271&gt;0,N271*100/L271,0)</f>
        <v>87.998188405797094</v>
      </c>
      <c r="P271" s="151">
        <f t="shared" ref="P271:P273" ca="1" si="85">IF(M271&gt;0,N271*100/M271,0)</f>
        <v>87.998188405797094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48575</v>
      </c>
      <c r="O273" s="156">
        <f t="shared" ca="1" si="84"/>
        <v>87.998188405797094</v>
      </c>
      <c r="P273" s="156">
        <f t="shared" ca="1" si="85"/>
        <v>87.998188405797094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IFERROR(__xludf.DUMMYFUNCTION("IMPORTRANGE(""https://docs.google.com/spreadsheets/d/1Yj_ptqi66GCucihVvJfMjLAmec39IyEx_6qawtMGysU/edit?usp=sharing"",""สบก!CK39"")"),55200)</f>
        <v>55200</v>
      </c>
      <c r="N275" s="169">
        <f ca="1">IFERROR(__xludf.DUMMYFUNCTION("IMPORTRANGE(""https://docs.google.com/spreadsheets/d/1Yj_ptqi66GCucihVvJfMjLAmec39IyEx_6qawtMGysU/edit?usp=sharing"",""สบก!CL39"")"),48575)</f>
        <v>48575</v>
      </c>
      <c r="O275" s="169">
        <f ca="1">IF(L275&gt;0,N275*100/L275,0)</f>
        <v>87.998188405797094</v>
      </c>
      <c r="P275" s="169">
        <f ca="1">IF(M275&gt;0,N275*100/M275,0)</f>
        <v>87.998188405797094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IFERROR(__xludf.DUMMYFUNCTION("IMPORTRANGE(""https://docs.google.com/spreadsheets/d/1XL5vhW3sbDhbH9Cz0tuDiY8C3ctxq1tqvaCgkFb8cCA/edit?usp=sharing"",""ขอนแก่น!J197"")"),0)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IFERROR(__xludf.DUMMYFUNCTION("IMPORTRANGE(""https://docs.google.com/spreadsheets/d/1XL5vhW3sbDhbH9Cz0tuDiY8C3ctxq1tqvaCgkFb8cCA/edit?usp=sharing"",""ขอนแก่น!I199"")"),0)</f>
        <v>0</v>
      </c>
      <c r="J289" s="317">
        <f ca="1">IFERROR(__xludf.DUMMYFUNCTION("IMPORTRANGE(""https://docs.google.com/spreadsheets/d/1XL5vhW3sbDhbH9Cz0tuDiY8C3ctxq1tqvaCgkFb8cCA/edit?usp=sharing"",""ขอนแก่น!J199"")"),0)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IFERROR(__xludf.DUMMYFUNCTION("IMPORTRANGE(""https://docs.google.com/spreadsheets/d/1XL5vhW3sbDhbH9Cz0tuDiY8C3ctxq1tqvaCgkFb8cCA/edit?usp=sharing"",""ขอนแก่น!I214"")"),0)</f>
        <v>0</v>
      </c>
      <c r="J309" s="334">
        <f ca="1">IFERROR(__xludf.DUMMYFUNCTION("IMPORTRANGE(""https://docs.google.com/spreadsheets/d/1XL5vhW3sbDhbH9Cz0tuDiY8C3ctxq1tqvaCgkFb8cCA/edit?usp=sharing"",""ขอนแก่น!J214"")"),0)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IFERROR(__xludf.DUMMYFUNCTION("IMPORTRANGE(""https://docs.google.com/spreadsheets/d/1XL5vhW3sbDhbH9Cz0tuDiY8C3ctxq1tqvaCgkFb8cCA/edit?usp=sharing"",""ขอนแก่น!I228"")"),800)</f>
        <v>800</v>
      </c>
      <c r="J328" s="340">
        <f ca="1">IFERROR(__xludf.DUMMYFUNCTION("IMPORTRANGE(""https://docs.google.com/spreadsheets/d/1XL5vhW3sbDhbH9Cz0tuDiY8C3ctxq1tqvaCgkFb8cCA/edit?usp=sharing"",""ขอนแก่น!J228"")"),670)</f>
        <v>670</v>
      </c>
      <c r="K328" s="318">
        <f ca="1">IF(I328&gt;0,J328*100/I328,0)</f>
        <v>83.75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1286000</v>
      </c>
      <c r="M329" s="152">
        <f t="shared" ca="1" si="98"/>
        <v>1328500</v>
      </c>
      <c r="N329" s="152">
        <f t="shared" ca="1" si="98"/>
        <v>1231239.17</v>
      </c>
      <c r="O329" s="151">
        <f t="shared" ref="O329:O331" ca="1" si="99">IF(L329&gt;0,N329*100/L329,0)</f>
        <v>95.741770606531887</v>
      </c>
      <c r="P329" s="151">
        <f t="shared" ref="P329:P331" ca="1" si="100">IF(M329&gt;0,N329*100/M329,0)</f>
        <v>92.678898757997743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1286000</v>
      </c>
      <c r="M331" s="157">
        <f t="shared" ca="1" si="102"/>
        <v>1328500</v>
      </c>
      <c r="N331" s="157">
        <f t="shared" ca="1" si="102"/>
        <v>1231239.17</v>
      </c>
      <c r="O331" s="156">
        <f t="shared" ca="1" si="99"/>
        <v>95.741770606531887</v>
      </c>
      <c r="P331" s="156">
        <f t="shared" ca="1" si="100"/>
        <v>92.678898757997743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1269000</v>
      </c>
      <c r="M333" s="168">
        <f ca="1">IFERROR(__xludf.DUMMYFUNCTION("IMPORTRANGE(""https://docs.google.com/spreadsheets/d/1Yj_ptqi66GCucihVvJfMjLAmec39IyEx_6qawtMGysU/edit?usp=sharing"",""สบก!DL39"")"),1311500)</f>
        <v>1311500</v>
      </c>
      <c r="N333" s="169">
        <f ca="1">IFERROR(__xludf.DUMMYFUNCTION("IMPORTRANGE(""https://docs.google.com/spreadsheets/d/1Yj_ptqi66GCucihVvJfMjLAmec39IyEx_6qawtMGysU/edit?usp=sharing"",""สบก!DM39"")"),1214239.17)</f>
        <v>1214239.17</v>
      </c>
      <c r="O333" s="169">
        <f ca="1">IF(L333&gt;0,N333*100/L333,0)</f>
        <v>95.684725768321513</v>
      </c>
      <c r="P333" s="169">
        <f ca="1">IF(M333&gt;0,N333*100/M333,0)</f>
        <v>92.584000762485701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IFERROR(__xludf.DUMMYFUNCTION("IMPORTRANGE(""https://docs.google.com/spreadsheets/d/1Yj_ptqi66GCucihVvJfMjLAmec39IyEx_6qawtMGysU/edit?usp=sharing"",""สบก!DI39"")"),768600)</f>
        <v>768600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IFERROR(__xludf.DUMMYFUNCTION("IMPORTRANGE(""https://docs.google.com/spreadsheets/d/1XL5vhW3sbDhbH9Cz0tuDiY8C3ctxq1tqvaCgkFb8cCA/edit?usp=sharing"",""ขอนแก่น!J234"")"),398)</f>
        <v>398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IFERROR(__xludf.DUMMYFUNCTION("IMPORTRANGE(""https://docs.google.com/spreadsheets/d/1XL5vhW3sbDhbH9Cz0tuDiY8C3ctxq1tqvaCgkFb8cCA/edit?usp=sharing"",""ขอนแก่น!J235"")"),3460.44)</f>
        <v>3460.44</v>
      </c>
      <c r="K340" s="343">
        <f t="shared" ca="1" si="103"/>
        <v>76.898666666666671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IFERROR(__xludf.DUMMYFUNCTION("IMPORTRANGE(""https://docs.google.com/spreadsheets/d/1XL5vhW3sbDhbH9Cz0tuDiY8C3ctxq1tqvaCgkFb8cCA/edit?usp=sharing"",""ขอนแก่น!J236"")"),811)</f>
        <v>811</v>
      </c>
      <c r="K341" s="343">
        <f t="shared" ca="1" si="103"/>
        <v>101.375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IFERROR(__xludf.DUMMYFUNCTION("IMPORTRANGE(""https://docs.google.com/spreadsheets/d/1XL5vhW3sbDhbH9Cz0tuDiY8C3ctxq1tqvaCgkFb8cCA/edit?usp=sharing"",""ขอนแก่น!J237"")"),8739.29)</f>
        <v>8739.2900000000009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IFERROR(__xludf.DUMMYFUNCTION("IMPORTRANGE(""https://docs.google.com/spreadsheets/d/1XL5vhW3sbDhbH9Cz0tuDiY8C3ctxq1tqvaCgkFb8cCA/edit?usp=sharing"",""ขอนแก่น!J238"")"),78)</f>
        <v>78</v>
      </c>
      <c r="K343" s="343">
        <f t="shared" ca="1" si="103"/>
        <v>9.75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IFERROR(__xludf.DUMMYFUNCTION("IMPORTRANGE(""https://docs.google.com/spreadsheets/d/1XL5vhW3sbDhbH9Cz0tuDiY8C3ctxq1tqvaCgkFb8cCA/edit?usp=sharing"",""ขอนแก่น!J239"")"),864.62)</f>
        <v>864.62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IFERROR(__xludf.DUMMYFUNCTION("IMPORTRANGE(""https://docs.google.com/spreadsheets/d/1XL5vhW3sbDhbH9Cz0tuDiY8C3ctxq1tqvaCgkFb8cCA/edit?usp=sharing"",""ขอนแก่น!J240"")"),670)</f>
        <v>670</v>
      </c>
      <c r="K345" s="343">
        <f t="shared" ca="1" si="103"/>
        <v>83.75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IFERROR(__xludf.DUMMYFUNCTION("IMPORTRANGE(""https://docs.google.com/spreadsheets/d/1XL5vhW3sbDhbH9Cz0tuDiY8C3ctxq1tqvaCgkFb8cCA/edit?usp=sharing"",""ขอนแก่น!J241"")"),7675.5)</f>
        <v>7675.5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IFERROR(__xludf.DUMMYFUNCTION("IMPORTRANGE(""https://docs.google.com/spreadsheets/d/1XL5vhW3sbDhbH9Cz0tuDiY8C3ctxq1tqvaCgkFb8cCA/edit?usp=sharing"",""ขอนแก่น!L242"")"),2745921)</f>
        <v>2745921</v>
      </c>
      <c r="M347" s="358"/>
      <c r="N347" s="358">
        <f ca="1">IFERROR(__xludf.DUMMYFUNCTION("IMPORTRANGE(""https://docs.google.com/spreadsheets/d/1XL5vhW3sbDhbH9Cz0tuDiY8C3ctxq1tqvaCgkFb8cCA/edit?usp=sharing"",""ขอนแก่น!M242"")"),1645497.42)</f>
        <v>1645497.42</v>
      </c>
      <c r="O347" s="358">
        <f ca="1">+IF(L347&gt;0,N347*100/L347,0)</f>
        <v>59.925155166517904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IFERROR(__xludf.DUMMYFUNCTION("IMPORTRANGE(""https://docs.google.com/spreadsheets/d/1XL5vhW3sbDhbH9Cz0tuDiY8C3ctxq1tqvaCgkFb8cCA/edit?usp=sharing"",""ขอนแก่น!J244"")"),95)</f>
        <v>95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IFERROR(__xludf.DUMMYFUNCTION("IMPORTRANGE(""https://docs.google.com/spreadsheets/d/1XL5vhW3sbDhbH9Cz0tuDiY8C3ctxq1tqvaCgkFb8cCA/edit?usp=sharing"",""ขอนแก่น!M244"")"),272188.5)</f>
        <v>272188.5</v>
      </c>
      <c r="O349" s="373">
        <f ca="1">+IF(L349&gt;0,N349*100/L349,0)</f>
        <v>77.872714788430173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IFERROR(__xludf.DUMMYFUNCTION("IMPORTRANGE(""https://docs.google.com/spreadsheets/d/1XL5vhW3sbDhbH9Cz0tuDiY8C3ctxq1tqvaCgkFb8cCA/edit?usp=sharing"",""ขอนแก่น!M247"")"),272188.5)</f>
        <v>272188.5</v>
      </c>
      <c r="O352" s="165">
        <f t="shared" ca="1" si="105"/>
        <v>77.872714788430173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IFERROR(__xludf.DUMMYFUNCTION("IMPORTRANGE(""https://docs.google.com/spreadsheets/d/1XL5vhW3sbDhbH9Cz0tuDiY8C3ctxq1tqvaCgkFb8cCA/edit?usp=sharing"",""ขอนแก่น!M249"")"),272188.5)</f>
        <v>272188.5</v>
      </c>
      <c r="O354" s="169">
        <f t="shared" ca="1" si="105"/>
        <v>77.872714788430173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IFERROR(__xludf.DUMMYFUNCTION("IMPORTRANGE(""https://docs.google.com/spreadsheets/d/1XL5vhW3sbDhbH9Cz0tuDiY8C3ctxq1tqvaCgkFb8cCA/edit?usp=sharing"",""ขอนแก่น!M250"")"),91030)</f>
        <v>91030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IFERROR(__xludf.DUMMYFUNCTION("IMPORTRANGE(""https://docs.google.com/spreadsheets/d/1XL5vhW3sbDhbH9Cz0tuDiY8C3ctxq1tqvaCgkFb8cCA/edit?usp=sharing"",""ขอนแก่น!M252"")"),109278.5)</f>
        <v>109278.5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IFERROR(__xludf.DUMMYFUNCTION("IMPORTRANGE(""https://docs.google.com/spreadsheets/d/1XL5vhW3sbDhbH9Cz0tuDiY8C3ctxq1tqvaCgkFb8cCA/edit?usp=sharing"",""ขอนแก่น!M253"")"),11955)</f>
        <v>11955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IFERROR(__xludf.DUMMYFUNCTION("IMPORTRANGE(""https://docs.google.com/spreadsheets/d/1XL5vhW3sbDhbH9Cz0tuDiY8C3ctxq1tqvaCgkFb8cCA/edit?usp=sharing"",""ขอนแก่น!J270"")"),95)</f>
        <v>95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IFERROR(__xludf.DUMMYFUNCTION("IMPORTRANGE(""https://docs.google.com/spreadsheets/d/1XL5vhW3sbDhbH9Cz0tuDiY8C3ctxq1tqvaCgkFb8cCA/edit?usp=sharing"",""ขอนแก่น!J271"")"),60)</f>
        <v>60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IFERROR(__xludf.DUMMYFUNCTION("IMPORTRANGE(""https://docs.google.com/spreadsheets/d/1XL5vhW3sbDhbH9Cz0tuDiY8C3ctxq1tqvaCgkFb8cCA/edit?usp=sharing"",""ขอนแก่น!J272"")"),35)</f>
        <v>35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IFERROR(__xludf.DUMMYFUNCTION("IMPORTRANGE(""https://docs.google.com/spreadsheets/d/1XL5vhW3sbDhbH9Cz0tuDiY8C3ctxq1tqvaCgkFb8cCA/edit?usp=sharing"",""ขอนแก่น!M275"")"),341879.81)</f>
        <v>341879.81</v>
      </c>
      <c r="O380" s="373">
        <f ca="1">+IF(L380&gt;0,N380*100/L380,0)</f>
        <v>33.239976859954112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IFERROR(__xludf.DUMMYFUNCTION("IMPORTRANGE(""https://docs.google.com/spreadsheets/d/1XL5vhW3sbDhbH9Cz0tuDiY8C3ctxq1tqvaCgkFb8cCA/edit?usp=sharing"",""ขอนแก่น!M278"")"),341879.81)</f>
        <v>341879.81</v>
      </c>
      <c r="O383" s="165">
        <f t="shared" ca="1" si="109"/>
        <v>33.239976859954112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IFERROR(__xludf.DUMMYFUNCTION("IMPORTRANGE(""https://docs.google.com/spreadsheets/d/1XL5vhW3sbDhbH9Cz0tuDiY8C3ctxq1tqvaCgkFb8cCA/edit?usp=sharing"",""ขอนแก่น!M280"")"),341879.81)</f>
        <v>341879.81</v>
      </c>
      <c r="O385" s="169">
        <f t="shared" ca="1" si="109"/>
        <v>33.239976859954112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IFERROR(__xludf.DUMMYFUNCTION("IMPORTRANGE(""https://docs.google.com/spreadsheets/d/1XL5vhW3sbDhbH9Cz0tuDiY8C3ctxq1tqvaCgkFb8cCA/edit?usp=sharing"",""ขอนแก่น!M281"")"),172791)</f>
        <v>172791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IFERROR(__xludf.DUMMYFUNCTION("IMPORTRANGE(""https://docs.google.com/spreadsheets/d/1XL5vhW3sbDhbH9Cz0tuDiY8C3ctxq1tqvaCgkFb8cCA/edit?usp=sharing"",""ขอนแก่น!M283"")"),119568.81)</f>
        <v>119568.81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IFERROR(__xludf.DUMMYFUNCTION("IMPORTRANGE(""https://docs.google.com/spreadsheets/d/1XL5vhW3sbDhbH9Cz0tuDiY8C3ctxq1tqvaCgkFb8cCA/edit?usp=sharing"",""ขอนแก่น!J295"")"),0)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IFERROR(__xludf.DUMMYFUNCTION("IMPORTRANGE(""https://docs.google.com/spreadsheets/d/1XL5vhW3sbDhbH9Cz0tuDiY8C3ctxq1tqvaCgkFb8cCA/edit?usp=sharing"",""ขอนแก่น!M296"")"),229140)</f>
        <v>229140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IFERROR(__xludf.DUMMYFUNCTION("IMPORTRANGE(""https://docs.google.com/spreadsheets/d/1XL5vhW3sbDhbH9Cz0tuDiY8C3ctxq1tqvaCgkFb8cCA/edit?usp=sharing"",""ขอนแก่น!M299"")"),229140)</f>
        <v>229140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IFERROR(__xludf.DUMMYFUNCTION("IMPORTRANGE(""https://docs.google.com/spreadsheets/d/1XL5vhW3sbDhbH9Cz0tuDiY8C3ctxq1tqvaCgkFb8cCA/edit?usp=sharing"",""ขอนแก่น!M301"")"),229140)</f>
        <v>229140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IFERROR(__xludf.DUMMYFUNCTION("IMPORTRANGE(""https://docs.google.com/spreadsheets/d/1XL5vhW3sbDhbH9Cz0tuDiY8C3ctxq1tqvaCgkFb8cCA/edit?usp=sharing"",""ขอนแก่น!M302"")"),137660)</f>
        <v>137660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IFERROR(__xludf.DUMMYFUNCTION("IMPORTRANGE(""https://docs.google.com/spreadsheets/d/1XL5vhW3sbDhbH9Cz0tuDiY8C3ctxq1tqvaCgkFb8cCA/edit?usp=sharing"",""ขอนแก่น!M303"")"),56600)</f>
        <v>56600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IFERROR(__xludf.DUMMYFUNCTION("IMPORTRANGE(""https://docs.google.com/spreadsheets/d/1XL5vhW3sbDhbH9Cz0tuDiY8C3ctxq1tqvaCgkFb8cCA/edit?usp=sharing"",""ขอนแก่น!J325"")"),58)</f>
        <v>58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IFERROR(__xludf.DUMMYFUNCTION("IMPORTRANGE(""https://docs.google.com/spreadsheets/d/1XL5vhW3sbDhbH9Cz0tuDiY8C3ctxq1tqvaCgkFb8cCA/edit?usp=sharing"",""ขอนแก่น!J329"")"),0)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IFERROR(__xludf.DUMMYFUNCTION("IMPORTRANGE(""https://docs.google.com/spreadsheets/d/1XL5vhW3sbDhbH9Cz0tuDiY8C3ctxq1tqvaCgkFb8cCA/edit?usp=sharing"",""ขอนแก่น!M330"")"),130280)</f>
        <v>130280</v>
      </c>
      <c r="O435" s="412">
        <f t="shared" ref="O435:O439" ca="1" si="114">+IF(L435&gt;0,N435*100/L435,0)</f>
        <v>90.472222222222229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IFERROR(__xludf.DUMMYFUNCTION("IMPORTRANGE(""https://docs.google.com/spreadsheets/d/1XL5vhW3sbDhbH9Cz0tuDiY8C3ctxq1tqvaCgkFb8cCA/edit?usp=sharing"",""ขอนแก่น!M332"")"),130280)</f>
        <v>130280</v>
      </c>
      <c r="O437" s="169">
        <f t="shared" ca="1" si="114"/>
        <v>90.472222222222229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IFERROR(__xludf.DUMMYFUNCTION("IMPORTRANGE(""https://docs.google.com/spreadsheets/d/1XL5vhW3sbDhbH9Cz0tuDiY8C3ctxq1tqvaCgkFb8cCA/edit?usp=sharing"",""ขอนแก่น!M334"")"),130280)</f>
        <v>130280</v>
      </c>
      <c r="O439" s="169">
        <f t="shared" ca="1" si="114"/>
        <v>90.472222222222229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IFERROR(__xludf.DUMMYFUNCTION("IMPORTRANGE(""https://docs.google.com/spreadsheets/d/1XL5vhW3sbDhbH9Cz0tuDiY8C3ctxq1tqvaCgkFb8cCA/edit?usp=sharing"",""ขอนแก่น!M335"")"),97427.18)</f>
        <v>97427.18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IFERROR(__xludf.DUMMYFUNCTION("IMPORTRANGE(""https://docs.google.com/spreadsheets/d/1XL5vhW3sbDhbH9Cz0tuDiY8C3ctxq1tqvaCgkFb8cCA/edit?usp=sharing"",""ขอนแก่น!M338"")"),32852.82)</f>
        <v>32852.82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IFERROR(__xludf.DUMMYFUNCTION("IMPORTRANGE(""https://docs.google.com/spreadsheets/d/1XL5vhW3sbDhbH9Cz0tuDiY8C3ctxq1tqvaCgkFb8cCA/edit?usp=sharing"",""ขอนแก่น!J349"")"),0)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IFERROR(__xludf.DUMMYFUNCTION("IMPORTRANGE(""https://docs.google.com/spreadsheets/d/1XL5vhW3sbDhbH9Cz0tuDiY8C3ctxq1tqvaCgkFb8cCA/edit?usp=sharing"",""ขอนแก่น!J350"")"),60621)</f>
        <v>60621</v>
      </c>
      <c r="K455" s="372">
        <f ca="1">IF(I455&gt;0,J455*100/I455,0)</f>
        <v>97.315910294896696</v>
      </c>
      <c r="L455" s="373">
        <f ca="1">IFERROR(__xludf.DUMMYFUNCTION("IMPORTRANGE(""https://docs.google.com/spreadsheets/d/1XL5vhW3sbDhbH9Cz0tuDiY8C3ctxq1tqvaCgkFb8cCA/edit?usp=sharing"",""ขอนแก่น!L350"")"),594051)</f>
        <v>594051</v>
      </c>
      <c r="M455" s="373"/>
      <c r="N455" s="373">
        <f ca="1">IFERROR(__xludf.DUMMYFUNCTION("IMPORTRANGE(""https://docs.google.com/spreadsheets/d/1XL5vhW3sbDhbH9Cz0tuDiY8C3ctxq1tqvaCgkFb8cCA/edit?usp=sharing"",""ขอนแก่น!M350"")"),497612.37)</f>
        <v>497612.37</v>
      </c>
      <c r="O455" s="373">
        <f t="shared" ref="O455:O459" ca="1" si="116">+IF(L455&gt;0,N455*100/L455,0)</f>
        <v>83.765934237969461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IFERROR(__xludf.DUMMYFUNCTION("IMPORTRANGE(""https://docs.google.com/spreadsheets/d/1XL5vhW3sbDhbH9Cz0tuDiY8C3ctxq1tqvaCgkFb8cCA/edit?usp=sharing"",""ขอนแก่น!L352"")"),594051)</f>
        <v>594051</v>
      </c>
      <c r="M457" s="165"/>
      <c r="N457" s="169">
        <f ca="1">IFERROR(__xludf.DUMMYFUNCTION("IMPORTRANGE(""https://docs.google.com/spreadsheets/d/1XL5vhW3sbDhbH9Cz0tuDiY8C3ctxq1tqvaCgkFb8cCA/edit?usp=sharing"",""ขอนแก่น!M352"")"),497612.37)</f>
        <v>497612.37</v>
      </c>
      <c r="O457" s="169">
        <f t="shared" ca="1" si="116"/>
        <v>83.765934237969461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IFERROR(__xludf.DUMMYFUNCTION("IMPORTRANGE(""https://docs.google.com/spreadsheets/d/1XL5vhW3sbDhbH9Cz0tuDiY8C3ctxq1tqvaCgkFb8cCA/edit?usp=sharing"",""ขอนแก่น!L354"")"),594051)</f>
        <v>594051</v>
      </c>
      <c r="M459" s="169"/>
      <c r="N459" s="169">
        <f ca="1">IFERROR(__xludf.DUMMYFUNCTION("IMPORTRANGE(""https://docs.google.com/spreadsheets/d/1XL5vhW3sbDhbH9Cz0tuDiY8C3ctxq1tqvaCgkFb8cCA/edit?usp=sharing"",""ขอนแก่น!M354"")"),497612.37)</f>
        <v>497612.37</v>
      </c>
      <c r="O459" s="169">
        <f t="shared" ca="1" si="116"/>
        <v>83.765934237969461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IFERROR(__xludf.DUMMYFUNCTION("IMPORTRANGE(""https://docs.google.com/spreadsheets/d/1XL5vhW3sbDhbH9Cz0tuDiY8C3ctxq1tqvaCgkFb8cCA/edit?usp=sharing"",""ขอนแก่น!M357"")"),108545.17)</f>
        <v>108545.17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IFERROR(__xludf.DUMMYFUNCTION("IMPORTRANGE(""https://docs.google.com/spreadsheets/d/1XL5vhW3sbDhbH9Cz0tuDiY8C3ctxq1tqvaCgkFb8cCA/edit?usp=sharing"",""ขอนแก่น!M358"")"),389067.2)</f>
        <v>389067.2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IFERROR(__xludf.DUMMYFUNCTION("IMPORTRANGE(""https://docs.google.com/spreadsheets/d/1XL5vhW3sbDhbH9Cz0tuDiY8C3ctxq1tqvaCgkFb8cCA/edit?usp=sharing"",""ขอนแก่น!J359"")"),60621)</f>
        <v>60621</v>
      </c>
      <c r="K464" s="269">
        <f t="shared" ref="K464:K515" ca="1" si="117">IF(I464&gt;0,J464*100/I464,0)</f>
        <v>97.315910294896696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IFERROR(__xludf.DUMMYFUNCTION("IMPORTRANGE(""https://docs.google.com/spreadsheets/d/1XL5vhW3sbDhbH9Cz0tuDiY8C3ctxq1tqvaCgkFb8cCA/edit?usp=sharing"",""ขอนแก่น!J376"")"),60621)</f>
        <v>60621</v>
      </c>
      <c r="K481" s="202">
        <f t="shared" ca="1" si="117"/>
        <v>97.315910294896696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IFERROR(__xludf.DUMMYFUNCTION("IMPORTRANGE(""https://docs.google.com/spreadsheets/d/1XL5vhW3sbDhbH9Cz0tuDiY8C3ctxq1tqvaCgkFb8cCA/edit?usp=sharing"",""ขอนแก่น!J377"")"),6395)</f>
        <v>6395</v>
      </c>
      <c r="K482" s="163">
        <f t="shared" ca="1" si="117"/>
        <v>97.455044193843335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IFERROR(__xludf.DUMMYFUNCTION("IMPORTRANGE(""https://docs.google.com/spreadsheets/d/1XL5vhW3sbDhbH9Cz0tuDiY8C3ctxq1tqvaCgkFb8cCA/edit?usp=sharing"",""ขอนแก่น!J378"")"),57494)</f>
        <v>57494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IFERROR(__xludf.DUMMYFUNCTION("IMPORTRANGE(""https://docs.google.com/spreadsheets/d/1XL5vhW3sbDhbH9Cz0tuDiY8C3ctxq1tqvaCgkFb8cCA/edit?usp=sharing"",""ขอนแก่น!J379"")"),6131)</f>
        <v>6131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IFERROR(__xludf.DUMMYFUNCTION("IMPORTRANGE(""https://docs.google.com/spreadsheets/d/1XL5vhW3sbDhbH9Cz0tuDiY8C3ctxq1tqvaCgkFb8cCA/edit?usp=sharing"",""ขอนแก่น!J382"")"),3101)</f>
        <v>3101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IFERROR(__xludf.DUMMYFUNCTION("IMPORTRANGE(""https://docs.google.com/spreadsheets/d/1XL5vhW3sbDhbH9Cz0tuDiY8C3ctxq1tqvaCgkFb8cCA/edit?usp=sharing"",""ขอนแก่น!J383"")"),260)</f>
        <v>260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IFERROR(__xludf.DUMMYFUNCTION("IMPORTRANGE(""https://docs.google.com/spreadsheets/d/1XL5vhW3sbDhbH9Cz0tuDiY8C3ctxq1tqvaCgkFb8cCA/edit?usp=sharing"",""ขอนแก่น!J384"")"),3101)</f>
        <v>3101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IFERROR(__xludf.DUMMYFUNCTION("IMPORTRANGE(""https://docs.google.com/spreadsheets/d/1XL5vhW3sbDhbH9Cz0tuDiY8C3ctxq1tqvaCgkFb8cCA/edit?usp=sharing"",""ขอนแก่น!J385"")"),260)</f>
        <v>260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IFERROR(__xludf.DUMMYFUNCTION("IMPORTRANGE(""https://docs.google.com/spreadsheets/d/1XL5vhW3sbDhbH9Cz0tuDiY8C3ctxq1tqvaCgkFb8cCA/edit?usp=sharing"",""ขอนแก่น!I412"")"),0)</f>
        <v>0</v>
      </c>
      <c r="J517" s="285">
        <f ca="1">IFERROR(__xludf.DUMMYFUNCTION("IMPORTRANGE(""https://docs.google.com/spreadsheets/d/1XL5vhW3sbDhbH9Cz0tuDiY8C3ctxq1tqvaCgkFb8cCA/edit?usp=sharing"",""ขอนแก่น!J412"")"),0)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IFERROR(__xludf.DUMMYFUNCTION("IMPORTRANGE(""https://docs.google.com/spreadsheets/d/1XL5vhW3sbDhbH9Cz0tuDiY8C3ctxq1tqvaCgkFb8cCA/edit?usp=sharing"",""ขอนแก่น!I413"")"),0)</f>
        <v>0</v>
      </c>
      <c r="J518" s="285">
        <f ca="1">IFERROR(__xludf.DUMMYFUNCTION("IMPORTRANGE(""https://docs.google.com/spreadsheets/d/1XL5vhW3sbDhbH9Cz0tuDiY8C3ctxq1tqvaCgkFb8cCA/edit?usp=sharing"",""ขอนแก่น!J413"")"),0)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IFERROR(__xludf.DUMMYFUNCTION("IMPORTRANGE(""https://docs.google.com/spreadsheets/d/1XL5vhW3sbDhbH9Cz0tuDiY8C3ctxq1tqvaCgkFb8cCA/edit?usp=sharing"",""ขอนแก่น!I420"")"),14)</f>
        <v>14</v>
      </c>
      <c r="J525" s="285">
        <f ca="1">IFERROR(__xludf.DUMMYFUNCTION("IMPORTRANGE(""https://docs.google.com/spreadsheets/d/1XL5vhW3sbDhbH9Cz0tuDiY8C3ctxq1tqvaCgkFb8cCA/edit?usp=sharing"",""ขอนแก่น!J420"")"),14)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IFERROR(__xludf.DUMMYFUNCTION("IMPORTRANGE(""https://docs.google.com/spreadsheets/d/1XL5vhW3sbDhbH9Cz0tuDiY8C3ctxq1tqvaCgkFb8cCA/edit?usp=sharing"",""ขอนแก่น!I421"")"),1)</f>
        <v>1</v>
      </c>
      <c r="J526" s="285">
        <f ca="1">IFERROR(__xludf.DUMMYFUNCTION("IMPORTRANGE(""https://docs.google.com/spreadsheets/d/1XL5vhW3sbDhbH9Cz0tuDiY8C3ctxq1tqvaCgkFb8cCA/edit?usp=sharing"",""ขอนแก่น!J421"")"),1)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IFERROR(__xludf.DUMMYFUNCTION("IMPORTRANGE(""https://docs.google.com/spreadsheets/d/1XL5vhW3sbDhbH9Cz0tuDiY8C3ctxq1tqvaCgkFb8cCA/edit?usp=sharing"",""ขอนแก่น!J459"")"),15172)</f>
        <v>15172</v>
      </c>
      <c r="K564" s="372">
        <f ca="1">IF(I564&gt;0,J564*100/I564,0)</f>
        <v>505.73333333333335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IFERROR(__xludf.DUMMYFUNCTION("IMPORTRANGE(""https://docs.google.com/spreadsheets/d/1XL5vhW3sbDhbH9Cz0tuDiY8C3ctxq1tqvaCgkFb8cCA/edit?usp=sharing"",""ขอนแก่น!M459"")"),147623.74)</f>
        <v>147623.74</v>
      </c>
      <c r="O564" s="373">
        <f t="shared" ref="O564:O568" ca="1" si="122">+IF(L564&gt;0,N564*100/L564,0)</f>
        <v>88.716189903846157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IFERROR(__xludf.DUMMYFUNCTION("IMPORTRANGE(""https://docs.google.com/spreadsheets/d/1XL5vhW3sbDhbH9Cz0tuDiY8C3ctxq1tqvaCgkFb8cCA/edit?usp=sharing"",""ขอนแก่น!M461"")"),147623.74)</f>
        <v>147623.74</v>
      </c>
      <c r="O566" s="169">
        <f t="shared" ca="1" si="122"/>
        <v>88.716189903846157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IFERROR(__xludf.DUMMYFUNCTION("IMPORTRANGE(""https://docs.google.com/spreadsheets/d/1XL5vhW3sbDhbH9Cz0tuDiY8C3ctxq1tqvaCgkFb8cCA/edit?usp=sharing"",""ขอนแก่น!M463"")"),147623.74)</f>
        <v>147623.74</v>
      </c>
      <c r="O568" s="169">
        <f t="shared" ca="1" si="122"/>
        <v>88.716189903846157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IFERROR(__xludf.DUMMYFUNCTION("IMPORTRANGE(""https://docs.google.com/spreadsheets/d/1XL5vhW3sbDhbH9Cz0tuDiY8C3ctxq1tqvaCgkFb8cCA/edit?usp=sharing"",""ขอนแก่น!M466"")"),93272.74)</f>
        <v>93272.74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IFERROR(__xludf.DUMMYFUNCTION("IMPORTRANGE(""https://docs.google.com/spreadsheets/d/1XL5vhW3sbDhbH9Cz0tuDiY8C3ctxq1tqvaCgkFb8cCA/edit?usp=sharing"",""ขอนแก่น!M467"")"),54351)</f>
        <v>54351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IFERROR(__xludf.DUMMYFUNCTION("IMPORTRANGE(""https://docs.google.com/spreadsheets/d/1XL5vhW3sbDhbH9Cz0tuDiY8C3ctxq1tqvaCgkFb8cCA/edit?usp=sharing"",""ขอนแก่น!J468"")"),15172)</f>
        <v>15172</v>
      </c>
      <c r="K573" s="202">
        <f ca="1">IF(I573&gt;0,J573*100/I573,0)</f>
        <v>505.73333333333335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IFERROR(__xludf.DUMMYFUNCTION("IMPORTRANGE(""https://docs.google.com/spreadsheets/d/1XL5vhW3sbDhbH9Cz0tuDiY8C3ctxq1tqvaCgkFb8cCA/edit?usp=sharing"",""ขอนแก่น!J471"")"),457)</f>
        <v>457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IFERROR(__xludf.DUMMYFUNCTION("IMPORTRANGE(""https://docs.google.com/spreadsheets/d/1XL5vhW3sbDhbH9Cz0tuDiY8C3ctxq1tqvaCgkFb8cCA/edit?usp=sharing"",""ขอนแก่น!J472"")"),14714)</f>
        <v>14714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IFERROR(__xludf.DUMMYFUNCTION("IMPORTRANGE(""https://docs.google.com/spreadsheets/d/1XL5vhW3sbDhbH9Cz0tuDiY8C3ctxq1tqvaCgkFb8cCA/edit?usp=sharing"",""ขอนแก่น!L475"")"),186040)</f>
        <v>186040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IFERROR(__xludf.DUMMYFUNCTION("IMPORTRANGE(""https://docs.google.com/spreadsheets/d/1XL5vhW3sbDhbH9Cz0tuDiY8C3ctxq1tqvaCgkFb8cCA/edit?usp=sharing"",""ขอนแก่น!L477"")"),186040)</f>
        <v>186040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IFERROR(__xludf.DUMMYFUNCTION("IMPORTRANGE(""https://docs.google.com/spreadsheets/d/1XL5vhW3sbDhbH9Cz0tuDiY8C3ctxq1tqvaCgkFb8cCA/edit?usp=sharing"",""ขอนแก่น!L479"")"),186040)</f>
        <v>186040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8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IFERROR(__xludf.DUMMYFUNCTION("IMPORTRANGE(""https://docs.google.com/spreadsheets/d/1XL5vhW3sbDhbH9Cz0tuDiY8C3ctxq1tqvaCgkFb8cCA/edit?usp=sharing"",""ขอนแก่น!M492"")"),5000)</f>
        <v>5000</v>
      </c>
      <c r="O597" s="412">
        <f t="shared" ref="O597:O601" ca="1" si="126">+IF(L597&gt;0,N597*100/L597,0)</f>
        <v>47.61904761904762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IFERROR(__xludf.DUMMYFUNCTION("IMPORTRANGE(""https://docs.google.com/spreadsheets/d/1XL5vhW3sbDhbH9Cz0tuDiY8C3ctxq1tqvaCgkFb8cCA/edit?usp=sharing"",""ขอนแก่น!L494"")"),10500)</f>
        <v>10500</v>
      </c>
      <c r="M599" s="165"/>
      <c r="N599" s="169">
        <f ca="1">IFERROR(__xludf.DUMMYFUNCTION("IMPORTRANGE(""https://docs.google.com/spreadsheets/d/1XL5vhW3sbDhbH9Cz0tuDiY8C3ctxq1tqvaCgkFb8cCA/edit?usp=sharing"",""ขอนแก่น!M494"")"),5000)</f>
        <v>5000</v>
      </c>
      <c r="O599" s="169">
        <f t="shared" ca="1" si="126"/>
        <v>47.61904761904762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IFERROR(__xludf.DUMMYFUNCTION("IMPORTRANGE(""https://docs.google.com/spreadsheets/d/1XL5vhW3sbDhbH9Cz0tuDiY8C3ctxq1tqvaCgkFb8cCA/edit?usp=sharing"",""ขอนแก่น!L496"")"),10500)</f>
        <v>10500</v>
      </c>
      <c r="M601" s="169"/>
      <c r="N601" s="169">
        <f ca="1">IFERROR(__xludf.DUMMYFUNCTION("IMPORTRANGE(""https://docs.google.com/spreadsheets/d/1XL5vhW3sbDhbH9Cz0tuDiY8C3ctxq1tqvaCgkFb8cCA/edit?usp=sharing"",""ขอนแก่น!M496"")"),5000)</f>
        <v>5000</v>
      </c>
      <c r="O601" s="169">
        <f t="shared" ca="1" si="126"/>
        <v>47.61904761904762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IFERROR(__xludf.DUMMYFUNCTION("IMPORTRANGE(""https://docs.google.com/spreadsheets/d/1XL5vhW3sbDhbH9Cz0tuDiY8C3ctxq1tqvaCgkFb8cCA/edit?usp=sharing"",""ขอนแก่น!M500"")"),5000)</f>
        <v>5000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IFERROR(__xludf.DUMMYFUNCTION("IMPORTRANGE(""https://docs.google.com/spreadsheets/d/1XL5vhW3sbDhbH9Cz0tuDiY8C3ctxq1tqvaCgkFb8cCA/edit?usp=sharing"",""ขอนแก่น!I523"")"),3622257.64)</f>
        <v>3622257.64</v>
      </c>
      <c r="J628" s="342">
        <f ca="1">IFERROR(__xludf.DUMMYFUNCTION("IMPORTRANGE(""https://docs.google.com/spreadsheets/d/1XL5vhW3sbDhbH9Cz0tuDiY8C3ctxq1tqvaCgkFb8cCA/edit?usp=sharing"",""ขอนแก่น!J523"")"),3407214.6)</f>
        <v>3407214.6</v>
      </c>
      <c r="K628" s="343">
        <f t="shared" ref="K628:K635" ca="1" si="129">IF(I628&gt;0,J628*100/I628,0)</f>
        <v>94.063287005724973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IFERROR(__xludf.DUMMYFUNCTION("IMPORTRANGE(""https://docs.google.com/spreadsheets/d/1XL5vhW3sbDhbH9Cz0tuDiY8C3ctxq1tqvaCgkFb8cCA/edit?usp=sharing"",""ขอนแก่น!I524"")"),242)</f>
        <v>242</v>
      </c>
      <c r="J629" s="342">
        <f ca="1">IFERROR(__xludf.DUMMYFUNCTION("IMPORTRANGE(""https://docs.google.com/spreadsheets/d/1XL5vhW3sbDhbH9Cz0tuDiY8C3ctxq1tqvaCgkFb8cCA/edit?usp=sharing"",""ขอนแก่น!J524"")"),206)</f>
        <v>206</v>
      </c>
      <c r="K629" s="343">
        <f t="shared" ca="1" si="129"/>
        <v>85.123966942148755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2">
        <f ca="1">IFERROR(__xludf.DUMMYFUNCTION("IMPORTRANGE(""https://docs.google.com/spreadsheets/d/1XL5vhW3sbDhbH9Cz0tuDiY8C3ctxq1tqvaCgkFb8cCA/edit?usp=sharing"",""ขอนแก่น!J525"")"),2008748.14)</f>
        <v>2008748.14</v>
      </c>
      <c r="K630" s="343">
        <f t="shared" ca="1" si="129"/>
        <v>9.4450599460630649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IFERROR(__xludf.DUMMYFUNCTION("IMPORTRANGE(""https://docs.google.com/spreadsheets/d/1XL5vhW3sbDhbH9Cz0tuDiY8C3ctxq1tqvaCgkFb8cCA/edit?usp=sharing"",""ขอนแก่น!I526"")"),613)</f>
        <v>613</v>
      </c>
      <c r="J631" s="342">
        <f ca="1">IFERROR(__xludf.DUMMYFUNCTION("IMPORTRANGE(""https://docs.google.com/spreadsheets/d/1XL5vhW3sbDhbH9Cz0tuDiY8C3ctxq1tqvaCgkFb8cCA/edit?usp=sharing"",""ขอนแก่น!J526"")"),219)</f>
        <v>219</v>
      </c>
      <c r="K631" s="343">
        <f t="shared" ca="1" si="129"/>
        <v>35.725938009787932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IFERROR(__xludf.DUMMYFUNCTION("IMPORTRANGE(""https://docs.google.com/spreadsheets/d/1XL5vhW3sbDhbH9Cz0tuDiY8C3ctxq1tqvaCgkFb8cCA/edit?usp=sharing"",""ขอนแก่น!I527"")"),490580.36)</f>
        <v>490580.36</v>
      </c>
      <c r="J632" s="342">
        <f ca="1">IFERROR(__xludf.DUMMYFUNCTION("IMPORTRANGE(""https://docs.google.com/spreadsheets/d/1XL5vhW3sbDhbH9Cz0tuDiY8C3ctxq1tqvaCgkFb8cCA/edit?usp=sharing"",""ขอนแก่น!J527"")"),251938.61)</f>
        <v>251938.61</v>
      </c>
      <c r="K632" s="343">
        <f t="shared" ca="1" si="129"/>
        <v>51.355217318524531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IFERROR(__xludf.DUMMYFUNCTION("IMPORTRANGE(""https://docs.google.com/spreadsheets/d/1XL5vhW3sbDhbH9Cz0tuDiY8C3ctxq1tqvaCgkFb8cCA/edit?usp=sharing"",""ขอนแก่น!I528"")"),60)</f>
        <v>60</v>
      </c>
      <c r="J633" s="342">
        <f ca="1">IFERROR(__xludf.DUMMYFUNCTION("IMPORTRANGE(""https://docs.google.com/spreadsheets/d/1XL5vhW3sbDhbH9Cz0tuDiY8C3ctxq1tqvaCgkFb8cCA/edit?usp=sharing"",""ขอนแก่น!J528"")"),52)</f>
        <v>52</v>
      </c>
      <c r="K633" s="343">
        <f t="shared" ca="1" si="129"/>
        <v>86.666666666666671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IFERROR(__xludf.DUMMYFUNCTION("IMPORTRANGE(""https://docs.google.com/spreadsheets/d/1XL5vhW3sbDhbH9Cz0tuDiY8C3ctxq1tqvaCgkFb8cCA/edit?usp=sharing"",""ขอนแก่น!I529"")"),6500000)</f>
        <v>6500000</v>
      </c>
      <c r="J634" s="342">
        <f ca="1">IFERROR(__xludf.DUMMYFUNCTION("IMPORTRANGE(""https://docs.google.com/spreadsheets/d/1XL5vhW3sbDhbH9Cz0tuDiY8C3ctxq1tqvaCgkFb8cCA/edit?usp=sharing"",""ขอนแก่น!J529"")"),6500000)</f>
        <v>6500000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IFERROR(__xludf.DUMMYFUNCTION("IMPORTRANGE(""https://docs.google.com/spreadsheets/d/1XL5vhW3sbDhbH9Cz0tuDiY8C3ctxq1tqvaCgkFb8cCA/edit?usp=sharing"",""ขอนแก่น!I530"")"),130)</f>
        <v>130</v>
      </c>
      <c r="J635" s="505">
        <f ca="1">IFERROR(__xludf.DUMMYFUNCTION("IMPORTRANGE(""https://docs.google.com/spreadsheets/d/1XL5vhW3sbDhbH9Cz0tuDiY8C3ctxq1tqvaCgkFb8cCA/edit?usp=sharing"",""ขอนแก่น!J530"")"),131)</f>
        <v>131</v>
      </c>
      <c r="K635" s="487">
        <f t="shared" ca="1" si="129"/>
        <v>100.76923076923077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5385</v>
      </c>
      <c r="M636" s="561"/>
      <c r="N636" s="560">
        <f ca="1">SUM(N637:N638)</f>
        <v>1685</v>
      </c>
      <c r="O636" s="560">
        <f t="shared" ref="O636:O640" ca="1" si="130">+IF(L636&gt;0,N636*100/L636,0)</f>
        <v>31.29062209842154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5385</v>
      </c>
      <c r="M638" s="571"/>
      <c r="N638" s="572">
        <f ca="1">SUM(N639:N640)</f>
        <v>1685</v>
      </c>
      <c r="O638" s="572">
        <f t="shared" ca="1" si="130"/>
        <v>31.29062209842154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5385</v>
      </c>
      <c r="M640" s="571"/>
      <c r="N640" s="572">
        <f ca="1">SUM(N641:N644)</f>
        <v>1685</v>
      </c>
      <c r="O640" s="572">
        <f t="shared" ca="1" si="130"/>
        <v>31.29062209842154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1685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IFERROR(__xludf.DUMMYFUNCTION("IMPORTRANGE(""https://docs.google.com/spreadsheets/d/1XL5vhW3sbDhbH9Cz0tuDiY8C3ctxq1tqvaCgkFb8cCA/edit#gid=346597447"",""ขอนแก่น!J541"")"),0)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IFERROR(__xludf.DUMMYFUNCTION("IMPORTRANGE(""https://docs.google.com/spreadsheets/d/1XL5vhW3sbDhbH9Cz0tuDiY8C3ctxq1tqvaCgkFb8cCA/edit#gid=346597447"",""ขอนแก่น!J542"")"),0)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IFERROR(__xludf.DUMMYFUNCTION("IMPORTRANGE(""https://docs.google.com/spreadsheets/d/1XL5vhW3sbDhbH9Cz0tuDiY8C3ctxq1tqvaCgkFb8cCA/edit#gid=346597447"",""ขอนแก่น!I543"")"),0)</f>
        <v>0</v>
      </c>
      <c r="J648" s="586">
        <f ca="1">IFERROR(__xludf.DUMMYFUNCTION("IMPORTRANGE(""https://docs.google.com/spreadsheets/d/1XL5vhW3sbDhbH9Cz0tuDiY8C3ctxq1tqvaCgkFb8cCA/edit#gid=346597447"",""ขอนแก่น!J543"")"),0)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IFERROR(__xludf.DUMMYFUNCTION("IMPORTRANGE(""https://docs.google.com/spreadsheets/d/1XL5vhW3sbDhbH9Cz0tuDiY8C3ctxq1tqvaCgkFb8cCA/edit#gid=346597447"",""ขอนแก่น!L543"")"),0)</f>
        <v>0</v>
      </c>
      <c r="M648" s="571"/>
      <c r="N648" s="588">
        <f ca="1">IFERROR(__xludf.DUMMYFUNCTION("IMPORTRANGE(""https://docs.google.com/spreadsheets/d/1XL5vhW3sbDhbH9Cz0tuDiY8C3ctxq1tqvaCgkFb8cCA/edit#gid=346597447"",""ขอนแก่น!M543"")"),0)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IFERROR(__xludf.DUMMYFUNCTION("IMPORTRANGE(""https://docs.google.com/spreadsheets/d/1XL5vhW3sbDhbH9Cz0tuDiY8C3ctxq1tqvaCgkFb8cCA/edit#gid=346597447"",""ขอนแก่น!I544"")"),0)</f>
        <v>0</v>
      </c>
      <c r="J649" s="586">
        <f ca="1">IFERROR(__xludf.DUMMYFUNCTION("IMPORTRANGE(""https://docs.google.com/spreadsheets/d/1XL5vhW3sbDhbH9Cz0tuDiY8C3ctxq1tqvaCgkFb8cCA/edit#gid=346597447"",""ขอนแก่น!J544"")"),0)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IFERROR(__xludf.DUMMYFUNCTION("IMPORTRANGE(""https://docs.google.com/spreadsheets/d/1XL5vhW3sbDhbH9Cz0tuDiY8C3ctxq1tqvaCgkFb8cCA/edit#gid=346597447"",""ขอนแก่น!L544"")"),0)</f>
        <v>0</v>
      </c>
      <c r="M649" s="571"/>
      <c r="N649" s="588">
        <f ca="1">IFERROR(__xludf.DUMMYFUNCTION("IMPORTRANGE(""https://docs.google.com/spreadsheets/d/1XL5vhW3sbDhbH9Cz0tuDiY8C3ctxq1tqvaCgkFb8cCA/edit#gid=346597447"",""ขอนแก่น!M544"")"),0)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IFERROR(__xludf.DUMMYFUNCTION("IMPORTRANGE(""https://docs.google.com/spreadsheets/d/1XL5vhW3sbDhbH9Cz0tuDiY8C3ctxq1tqvaCgkFb8cCA/edit#gid=346597447"",""ขอนแก่น!I545"")"),14)</f>
        <v>14</v>
      </c>
      <c r="J650" s="586">
        <f ca="1">IFERROR(__xludf.DUMMYFUNCTION("IMPORTRANGE(""https://docs.google.com/spreadsheets/d/1XL5vhW3sbDhbH9Cz0tuDiY8C3ctxq1tqvaCgkFb8cCA/edit#gid=346597447"",""ขอนแก่น!J545"")"),0)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IFERROR(__xludf.DUMMYFUNCTION("IMPORTRANGE(""https://docs.google.com/spreadsheets/d/1XL5vhW3sbDhbH9Cz0tuDiY8C3ctxq1tqvaCgkFb8cCA/edit#gid=346597447"",""ขอนแก่น!L545"")"),70)</f>
        <v>70</v>
      </c>
      <c r="M650" s="571"/>
      <c r="N650" s="588">
        <f ca="1">IFERROR(__xludf.DUMMYFUNCTION("IMPORTRANGE(""https://docs.google.com/spreadsheets/d/1XL5vhW3sbDhbH9Cz0tuDiY8C3ctxq1tqvaCgkFb8cCA/edit#gid=346597447"",""ขอนแก่น!M545"")"),1120)</f>
        <v>1120</v>
      </c>
      <c r="O650" s="587">
        <f t="shared" ca="1" si="132"/>
        <v>1600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IFERROR(__xludf.DUMMYFUNCTION("IMPORTRANGE(""https://docs.google.com/spreadsheets/d/1XL5vhW3sbDhbH9Cz0tuDiY8C3ctxq1tqvaCgkFb8cCA/edit#gid=346597447"",""ขอนแก่น!I546"")"),203)</f>
        <v>203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IFERROR(__xludf.DUMMYFUNCTION("IMPORTRANGE(""https://docs.google.com/spreadsheets/d/1XL5vhW3sbDhbH9Cz0tuDiY8C3ctxq1tqvaCgkFb8cCA/edit#gid=346597447"",""ขอนแก่น!L546"")"),5075)</f>
        <v>5075</v>
      </c>
      <c r="M651" s="571"/>
      <c r="N651" s="588">
        <f ca="1">IFERROR(__xludf.DUMMYFUNCTION("IMPORTRANGE(""https://docs.google.com/spreadsheets/d/1XL5vhW3sbDhbH9Cz0tuDiY8C3ctxq1tqvaCgkFb8cCA/edit#gid=346597447"",""ขอนแก่น!M546"")"),565)</f>
        <v>565</v>
      </c>
      <c r="O651" s="587">
        <f t="shared" ca="1" si="132"/>
        <v>11.133004926108374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IFERROR(__xludf.DUMMYFUNCTION("IMPORTRANGE(""https://docs.google.com/spreadsheets/d/1XL5vhW3sbDhbH9Cz0tuDiY8C3ctxq1tqvaCgkFb8cCA/edit#gid=346597447"",""ขอนแก่น!J547"")"),0)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IFERROR(__xludf.DUMMYFUNCTION("IMPORTRANGE(""https://docs.google.com/spreadsheets/d/1XL5vhW3sbDhbH9Cz0tuDiY8C3ctxq1tqvaCgkFb8cCA/edit#gid=346597447"",""ขอนแก่น!J548"")"),0)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IFERROR(__xludf.DUMMYFUNCTION("IMPORTRANGE(""https://docs.google.com/spreadsheets/d/1XL5vhW3sbDhbH9Cz0tuDiY8C3ctxq1tqvaCgkFb8cCA/edit#gid=346597447"",""ขอนแก่น!J550"")"),0)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IFERROR(__xludf.DUMMYFUNCTION("IMPORTRANGE(""https://docs.google.com/spreadsheets/d/1XL5vhW3sbDhbH9Cz0tuDiY8C3ctxq1tqvaCgkFb8cCA/edit#gid=346597447"",""ขอนแก่น!J551"")"),0)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IFERROR(__xludf.DUMMYFUNCTION("IMPORTRANGE(""https://docs.google.com/spreadsheets/d/1XL5vhW3sbDhbH9Cz0tuDiY8C3ctxq1tqvaCgkFb8cCA/edit#gid=346597447"",""ขอนแก่น!J552"")"),0)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IFERROR(__xludf.DUMMYFUNCTION("IMPORTRANGE(""https://docs.google.com/spreadsheets/d/1XL5vhW3sbDhbH9Cz0tuDiY8C3ctxq1tqvaCgkFb8cCA/edit#gid=346597447"",""ขอนแก่น!J553"")"),0)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IFERROR(__xludf.DUMMYFUNCTION("IMPORTRANGE(""https://docs.google.com/spreadsheets/d/1XL5vhW3sbDhbH9Cz0tuDiY8C3ctxq1tqvaCgkFb8cCA/edit#gid=346597447"",""ขอนแก่น!J554"")"),0)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IFERROR(__xludf.DUMMYFUNCTION("IMPORTRANGE(""https://docs.google.com/spreadsheets/d/1XL5vhW3sbDhbH9Cz0tuDiY8C3ctxq1tqvaCgkFb8cCA/edit#gid=346597447"",""ขอนแก่น!J555"")"),0)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IFERROR(__xludf.DUMMYFUNCTION("IMPORTRANGE(""https://docs.google.com/spreadsheets/d/1XL5vhW3sbDhbH9Cz0tuDiY8C3ctxq1tqvaCgkFb8cCA/edit#gid=346597447"",""ขอนแก่น!J556"")"),0)</f>
        <v>0</v>
      </c>
      <c r="K661" s="587"/>
      <c r="L661" s="572">
        <f ca="1">IFERROR(__xludf.DUMMYFUNCTION("IMPORTRANGE(""https://docs.google.com/spreadsheets/d/1XL5vhW3sbDhbH9Cz0tuDiY8C3ctxq1tqvaCgkFb8cCA/edit#gid=346597447"",""ขอนแก่น!L556"")"),0)</f>
        <v>0</v>
      </c>
      <c r="M661" s="571"/>
      <c r="N661" s="588">
        <f ca="1">IFERROR(__xludf.DUMMYFUNCTION("IMPORTRANGE(""https://docs.google.com/spreadsheets/d/1XL5vhW3sbDhbH9Cz0tuDiY8C3ctxq1tqvaCgkFb8cCA/edit#gid=346597447"",""ขอนแก่น!M556"")"),0)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IFERROR(__xludf.DUMMYFUNCTION("IMPORTRANGE(""https://docs.google.com/spreadsheets/d/1XL5vhW3sbDhbH9Cz0tuDiY8C3ctxq1tqvaCgkFb8cCA/edit#gid=346597447"",""ขอนแก่น!J557"")"),0)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IFERROR(__xludf.DUMMYFUNCTION("IMPORTRANGE(""https://docs.google.com/spreadsheets/d/1XL5vhW3sbDhbH9Cz0tuDiY8C3ctxq1tqvaCgkFb8cCA/edit#gid=346597447"",""ขอนแก่น!I558"")"),0)</f>
        <v>0</v>
      </c>
      <c r="J663" s="586">
        <f ca="1">IFERROR(__xludf.DUMMYFUNCTION("IMPORTRANGE(""https://docs.google.com/spreadsheets/d/1XL5vhW3sbDhbH9Cz0tuDiY8C3ctxq1tqvaCgkFb8cCA/edit#gid=346597447"",""ขอนแก่น!J558"")"),0)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IFERROR(__xludf.DUMMYFUNCTION("IMPORTRANGE(""https://docs.google.com/spreadsheets/d/1XL5vhW3sbDhbH9Cz0tuDiY8C3ctxq1tqvaCgkFb8cCA/edit#gid=346597447"",""ขอนแก่น!I560"")"),2)</f>
        <v>2</v>
      </c>
      <c r="J665" s="586">
        <f ca="1">IFERROR(__xludf.DUMMYFUNCTION("IMPORTRANGE(""https://docs.google.com/spreadsheets/d/1XL5vhW3sbDhbH9Cz0tuDiY8C3ctxq1tqvaCgkFb8cCA/edit#gid=346597447"",""ขอนแก่น!J560"")"),0)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IFERROR(__xludf.DUMMYFUNCTION("IMPORTRANGE(""https://docs.google.com/spreadsheets/d/1XL5vhW3sbDhbH9Cz0tuDiY8C3ctxq1tqvaCgkFb8cCA/edit#gid=346597447"",""ขอนแก่น!L560"")"),240)</f>
        <v>240</v>
      </c>
      <c r="M665" s="571"/>
      <c r="N665" s="588">
        <f ca="1">IFERROR(__xludf.DUMMYFUNCTION("IMPORTRANGE(""https://docs.google.com/spreadsheets/d/1XL5vhW3sbDhbH9Cz0tuDiY8C3ctxq1tqvaCgkFb8cCA/edit#gid=346597447"",""ขอนแก่น!M560"")"),0)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IFERROR(__xludf.DUMMYFUNCTION("IMPORTRANGE(""https://docs.google.com/spreadsheets/d/1XL5vhW3sbDhbH9Cz0tuDiY8C3ctxq1tqvaCgkFb8cCA/edit#gid=346597447"",""ขอนแก่น!J561"")"),0)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IFERROR(__xludf.DUMMYFUNCTION("IMPORTRANGE(""https://docs.google.com/spreadsheets/d/1XL5vhW3sbDhbH9Cz0tuDiY8C3ctxq1tqvaCgkFb8cCA/edit#gid=346597447"",""ขอนแก่น!J562"")"),0)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IFERROR(__xludf.DUMMYFUNCTION("IMPORTRANGE(""https://docs.google.com/spreadsheets/d/1XL5vhW3sbDhbH9Cz0tuDiY8C3ctxq1tqvaCgkFb8cCA/edit#gid=346597447"",""ขอนแก่น!I563"")"),0)</f>
        <v>0</v>
      </c>
      <c r="J668" s="586">
        <f ca="1">IFERROR(__xludf.DUMMYFUNCTION("IMPORTRANGE(""https://docs.google.com/spreadsheets/d/1XL5vhW3sbDhbH9Cz0tuDiY8C3ctxq1tqvaCgkFb8cCA/edit#gid=346597447"",""ขอนแก่น!J563"")"),0)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IFERROR(__xludf.DUMMYFUNCTION("IMPORTRANGE(""https://docs.google.com/spreadsheets/d/1XL5vhW3sbDhbH9Cz0tuDiY8C3ctxq1tqvaCgkFb8cCA/edit#gid=346597447"",""ขอนแก่น!L563"")"),0)</f>
        <v>0</v>
      </c>
      <c r="M668" s="571"/>
      <c r="N668" s="588">
        <f ca="1">IFERROR(__xludf.DUMMYFUNCTION("IMPORTRANGE(""https://docs.google.com/spreadsheets/d/1XL5vhW3sbDhbH9Cz0tuDiY8C3ctxq1tqvaCgkFb8cCA/edit#gid=346597447"",""ขอนแก่น!M563"")"),0)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IFERROR(__xludf.DUMMYFUNCTION("IMPORTRANGE(""https://docs.google.com/spreadsheets/d/1XL5vhW3sbDhbH9Cz0tuDiY8C3ctxq1tqvaCgkFb8cCA/edit#gid=346597447"",""ขอนแก่น!J564"")"),0)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IFERROR(__xludf.DUMMYFUNCTION("IMPORTRANGE(""https://docs.google.com/spreadsheets/d/1XL5vhW3sbDhbH9Cz0tuDiY8C3ctxq1tqvaCgkFb8cCA/edit#gid=346597447"",""ขอนแก่น!J565"")"),0)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IFERROR(__xludf.DUMMYFUNCTION("IMPORTRANGE(""https://docs.google.com/spreadsheets/d/1XL5vhW3sbDhbH9Cz0tuDiY8C3ctxq1tqvaCgkFb8cCA/edit#gid=346597447"",""ขอนแก่น!I566"")"),0)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IFERROR(__xludf.DUMMYFUNCTION("IMPORTRANGE(""https://docs.google.com/spreadsheets/d/1XL5vhW3sbDhbH9Cz0tuDiY8C3ctxq1tqvaCgkFb8cCA/edit#gid=346597447"",""ขอนแก่น!L566"")"),0)</f>
        <v>0</v>
      </c>
      <c r="M671" s="571"/>
      <c r="N671" s="588">
        <f ca="1">IFERROR(__xludf.DUMMYFUNCTION("IMPORTRANGE(""https://docs.google.com/spreadsheets/d/1XL5vhW3sbDhbH9Cz0tuDiY8C3ctxq1tqvaCgkFb8cCA/edit#gid=346597447"",""ขอนแก่น!M566"")"),0)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IFERROR(__xludf.DUMMYFUNCTION("IMPORTRANGE(""https://docs.google.com/spreadsheets/d/1XL5vhW3sbDhbH9Cz0tuDiY8C3ctxq1tqvaCgkFb8cCA/edit#gid=346597447"",""ขอนแก่น!J567"")"),0)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IFERROR(__xludf.DUMMYFUNCTION("IMPORTRANGE(""https://docs.google.com/spreadsheets/d/1XL5vhW3sbDhbH9Cz0tuDiY8C3ctxq1tqvaCgkFb8cCA/edit#gid=346597447"",""ขอนแก่น!J568"")"),0)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IFERROR(__xludf.DUMMYFUNCTION("IMPORTRANGE(""https://docs.google.com/spreadsheets/d/1XL5vhW3sbDhbH9Cz0tuDiY8C3ctxq1tqvaCgkFb8cCA/edit#gid=346597447"",""ขอนแก่น!J569"")"),0)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IFERROR(__xludf.DUMMYFUNCTION("IMPORTRANGE(""https://docs.google.com/spreadsheets/d/1XL5vhW3sbDhbH9Cz0tuDiY8C3ctxq1tqvaCgkFb8cCA/edit#gid=346597447"",""ขอนแก่น!J570"")"),0)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IFERROR(__xludf.DUMMYFUNCTION("IMPORTRANGE(""https://docs.google.com/spreadsheets/d/1XL5vhW3sbDhbH9Cz0tuDiY8C3ctxq1tqvaCgkFb8cCA/edit#gid=346597447"",""ขอนแก่น!J571"")"),0)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IFERROR(__xludf.DUMMYFUNCTION("IMPORTRANGE(""https://docs.google.com/spreadsheets/d/1XL5vhW3sbDhbH9Cz0tuDiY8C3ctxq1tqvaCgkFb8cCA/edit#gid=346597447"",""ขอนแก่น!J572"")"),0)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8068078</v>
      </c>
      <c r="M8" s="23">
        <f t="shared" ca="1" si="0"/>
        <v>6350173</v>
      </c>
      <c r="N8" s="23">
        <f t="shared" ca="1" si="0"/>
        <v>6682459.3499999996</v>
      </c>
      <c r="O8" s="22">
        <f t="shared" ref="O8:O16" ca="1" si="1">IF(L8&gt;0,N8*100/L8,0)</f>
        <v>82.825914052888436</v>
      </c>
      <c r="P8" s="22">
        <f t="shared" ref="P8:P16" ca="1" si="2">IF(M8&gt;0,N8*100/M8,0)</f>
        <v>105.23271334497501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8068078</v>
      </c>
      <c r="M10" s="30">
        <f t="shared" ca="1" si="4"/>
        <v>6350173</v>
      </c>
      <c r="N10" s="30">
        <f t="shared" ca="1" si="4"/>
        <v>6682459.3499999996</v>
      </c>
      <c r="O10" s="29">
        <f t="shared" ca="1" si="1"/>
        <v>82.825914052888436</v>
      </c>
      <c r="P10" s="29">
        <f t="shared" ca="1" si="2"/>
        <v>105.23271334497501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6528078</v>
      </c>
      <c r="M12" s="38">
        <f t="shared" ca="1" si="6"/>
        <v>4810173</v>
      </c>
      <c r="N12" s="38">
        <f t="shared" ca="1" si="6"/>
        <v>5216460.3499999996</v>
      </c>
      <c r="O12" s="38">
        <f t="shared" ca="1" si="1"/>
        <v>79.908057930680357</v>
      </c>
      <c r="P12" s="38">
        <f t="shared" ca="1" si="2"/>
        <v>108.44641866311252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3664178</v>
      </c>
      <c r="M14" s="38">
        <f t="shared" si="8"/>
        <v>0</v>
      </c>
      <c r="N14" s="38">
        <f t="shared" ca="1" si="8"/>
        <v>1236894</v>
      </c>
      <c r="O14" s="38">
        <f t="shared" ca="1" si="1"/>
        <v>33.756384105793984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1540000</v>
      </c>
      <c r="M16" s="38">
        <f t="shared" ca="1" si="10"/>
        <v>1540000</v>
      </c>
      <c r="N16" s="38">
        <f t="shared" ca="1" si="10"/>
        <v>1465999</v>
      </c>
      <c r="O16" s="49">
        <f t="shared" ca="1" si="1"/>
        <v>95.194740259740257</v>
      </c>
      <c r="P16" s="49">
        <f t="shared" ca="1" si="2"/>
        <v>95.194740259740257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6002395</v>
      </c>
      <c r="M18" s="23">
        <f t="shared" ca="1" si="11"/>
        <v>6350173</v>
      </c>
      <c r="N18" s="23">
        <f t="shared" ca="1" si="11"/>
        <v>5445565.3499999996</v>
      </c>
      <c r="O18" s="22">
        <f t="shared" ref="O18:O20" ca="1" si="12">IF(L18&gt;0,N18*100/L18,0)</f>
        <v>90.72320881914635</v>
      </c>
      <c r="P18" s="22">
        <f t="shared" ref="P18:P26" ca="1" si="13">IF(M18&gt;0,N18*100/M18,0)</f>
        <v>85.754598339289345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6002395</v>
      </c>
      <c r="M20" s="30">
        <f t="shared" ca="1" si="15"/>
        <v>6350173</v>
      </c>
      <c r="N20" s="30">
        <f t="shared" ca="1" si="15"/>
        <v>5445565.3499999996</v>
      </c>
      <c r="O20" s="29">
        <f t="shared" ca="1" si="12"/>
        <v>90.72320881914635</v>
      </c>
      <c r="P20" s="29">
        <f t="shared" ca="1" si="13"/>
        <v>85.754598339289345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4462395</v>
      </c>
      <c r="M22" s="41">
        <f t="shared" ca="1" si="18"/>
        <v>4810173</v>
      </c>
      <c r="N22" s="38">
        <f t="shared" ca="1" si="18"/>
        <v>3979566.3499999996</v>
      </c>
      <c r="O22" s="38">
        <f t="shared" ca="1" si="17"/>
        <v>89.180055777222762</v>
      </c>
      <c r="P22" s="38">
        <f t="shared" ca="1" si="13"/>
        <v>82.732291541281356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1598495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1540000</v>
      </c>
      <c r="M26" s="49">
        <f t="shared" ca="1" si="22"/>
        <v>1540000</v>
      </c>
      <c r="N26" s="49">
        <f t="shared" ca="1" si="22"/>
        <v>1465999</v>
      </c>
      <c r="O26" s="49">
        <f t="shared" ca="1" si="17"/>
        <v>95.194740259740257</v>
      </c>
      <c r="P26" s="49">
        <f t="shared" ca="1" si="13"/>
        <v>95.194740259740257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2065683</v>
      </c>
      <c r="M28" s="23">
        <f t="shared" si="23"/>
        <v>0</v>
      </c>
      <c r="N28" s="23">
        <f t="shared" ca="1" si="23"/>
        <v>1236894</v>
      </c>
      <c r="O28" s="22">
        <f t="shared" ref="O28:O30" ca="1" si="24">IF(L28&gt;0,N28*100/L28,0)</f>
        <v>59.878209773716492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2065683</v>
      </c>
      <c r="M30" s="30">
        <f t="shared" si="27"/>
        <v>0</v>
      </c>
      <c r="N30" s="30">
        <f t="shared" ca="1" si="27"/>
        <v>1236894</v>
      </c>
      <c r="O30" s="29">
        <f t="shared" ca="1" si="24"/>
        <v>59.878209773716492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2065683</v>
      </c>
      <c r="M32" s="38">
        <f t="shared" si="30"/>
        <v>0</v>
      </c>
      <c r="N32" s="38">
        <f t="shared" ca="1" si="30"/>
        <v>1236894</v>
      </c>
      <c r="O32" s="38">
        <f t="shared" ca="1" si="29"/>
        <v>59.878209773716492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2065683</v>
      </c>
      <c r="M34" s="38">
        <f t="shared" si="32"/>
        <v>0</v>
      </c>
      <c r="N34" s="38">
        <f t="shared" ca="1" si="32"/>
        <v>1236894</v>
      </c>
      <c r="O34" s="38">
        <f t="shared" ca="1" si="29"/>
        <v>59.878209773716492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6002395</v>
      </c>
      <c r="M37" s="54">
        <f t="shared" ca="1" si="33"/>
        <v>6350173</v>
      </c>
      <c r="N37" s="54">
        <f t="shared" ca="1" si="33"/>
        <v>5445565.3499999996</v>
      </c>
      <c r="O37" s="55">
        <f t="shared" ca="1" si="29"/>
        <v>90.72320881914635</v>
      </c>
      <c r="P37" s="55">
        <f t="shared" ca="1" si="25"/>
        <v>85.754598339289345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2530800</v>
      </c>
      <c r="M41" s="78">
        <f t="shared" ca="1" si="34"/>
        <v>2530800</v>
      </c>
      <c r="N41" s="78">
        <f t="shared" ca="1" si="34"/>
        <v>2365511.9500000002</v>
      </c>
      <c r="O41" s="77">
        <f t="shared" ref="O41:O43" ca="1" si="35">IF(L41&gt;0,N41*100/L41,0)</f>
        <v>93.468940651177505</v>
      </c>
      <c r="P41" s="77">
        <f t="shared" ref="P41:P43" ca="1" si="36">IF(M41&gt;0,N41*100/M41,0)</f>
        <v>93.468940651177505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2530800</v>
      </c>
      <c r="M43" s="78">
        <f t="shared" ca="1" si="38"/>
        <v>2530800</v>
      </c>
      <c r="N43" s="78">
        <f t="shared" ca="1" si="38"/>
        <v>2365511.9500000002</v>
      </c>
      <c r="O43" s="77">
        <f t="shared" ca="1" si="35"/>
        <v>93.468940651177505</v>
      </c>
      <c r="P43" s="77">
        <f t="shared" ca="1" si="36"/>
        <v>93.468940651177505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IFERROR(__xludf.DUMMYFUNCTION("IMPORTRANGE(""https://docs.google.com/spreadsheets/d/1Yj_ptqi66GCucihVvJfMjLAmec39IyEx_6qawtMGysU/edit?usp=sharing"",""สบก!Q40"")"),990800)</f>
        <v>990800</v>
      </c>
      <c r="N45" s="49">
        <f ca="1">IFERROR(__xludf.DUMMYFUNCTION("IMPORTRANGE(""https://docs.google.com/spreadsheets/d/1Yj_ptqi66GCucihVvJfMjLAmec39IyEx_6qawtMGysU/edit?usp=sharing"",""สบก!R40"")"),899512.95)</f>
        <v>899512.95</v>
      </c>
      <c r="O45" s="38">
        <f ca="1">IF(L45&gt;0,N45*100/L45,0)</f>
        <v>90.786531085991115</v>
      </c>
      <c r="P45" s="38">
        <f ca="1">IF(M45&gt;0,N45*100/M45,0)</f>
        <v>90.786531085991115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IFERROR(__xludf.DUMMYFUNCTION("IMPORTRANGE(""https://docs.google.com/spreadsheets/d/1Yj_ptqi66GCucihVvJfMjLAmec39IyEx_6qawtMGysU/edit?usp=sharing"",""สบก!O40"")"),1540000)</f>
        <v>1540000</v>
      </c>
      <c r="M49" s="49">
        <f ca="1">L49</f>
        <v>1540000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95.194740259740257</v>
      </c>
      <c r="P49" s="49">
        <f ca="1">IF(M49&gt;0,N49*100/M49,0)</f>
        <v>95.194740259740257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954578</v>
      </c>
      <c r="N53" s="121">
        <f t="shared" ca="1" si="39"/>
        <v>860337</v>
      </c>
      <c r="O53" s="120">
        <f t="shared" ref="O53:O55" ca="1" si="40">IF(L53&gt;0,N53*100/L53,0)</f>
        <v>110.4695685670262</v>
      </c>
      <c r="P53" s="120">
        <f t="shared" ref="P53:P55" ca="1" si="41">IF(M53&gt;0,N53*100/M53,0)</f>
        <v>90.127469939596338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954578</v>
      </c>
      <c r="N55" s="121">
        <f t="shared" ca="1" si="43"/>
        <v>860337</v>
      </c>
      <c r="O55" s="120">
        <f t="shared" ca="1" si="40"/>
        <v>110.4695685670262</v>
      </c>
      <c r="P55" s="120">
        <f t="shared" ca="1" si="41"/>
        <v>90.127469939596338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IFERROR(__xludf.DUMMYFUNCTION("IMPORTRANGE(""https://docs.google.com/spreadsheets/d/1Yj_ptqi66GCucihVvJfMjLAmec39IyEx_6qawtMGysU/edit?usp=sharing"",""สบก!Z40"")"),954578)</f>
        <v>954578</v>
      </c>
      <c r="N57" s="49">
        <f ca="1">IFERROR(__xludf.DUMMYFUNCTION("IMPORTRANGE(""https://docs.google.com/spreadsheets/d/1Yj_ptqi66GCucihVvJfMjLAmec39IyEx_6qawtMGysU/edit?usp=sharing"",""สบก!AA40"")"),860337)</f>
        <v>860337</v>
      </c>
      <c r="O57" s="38">
        <f ca="1">IF(L57&gt;0,N57*100/L57,0)</f>
        <v>110.4695685670262</v>
      </c>
      <c r="P57" s="38">
        <f ca="1">IF(M57&gt;0,N57*100/M57,0)</f>
        <v>90.127469939596338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84945</v>
      </c>
      <c r="M118" s="152">
        <f t="shared" ca="1" si="58"/>
        <v>84945</v>
      </c>
      <c r="N118" s="152">
        <f t="shared" ca="1" si="58"/>
        <v>84620.4</v>
      </c>
      <c r="O118" s="151">
        <f t="shared" ref="O118:O120" ca="1" si="59">IF(L118&gt;0,N118*100/L118,0)</f>
        <v>99.617870386720824</v>
      </c>
      <c r="P118" s="151">
        <f t="shared" ref="P118:P120" ca="1" si="60">IF(M118&gt;0,N118*100/M118,0)</f>
        <v>99.617870386720824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84945</v>
      </c>
      <c r="M120" s="157">
        <f t="shared" ca="1" si="62"/>
        <v>84945</v>
      </c>
      <c r="N120" s="157">
        <f t="shared" ca="1" si="62"/>
        <v>84620.4</v>
      </c>
      <c r="O120" s="156">
        <f t="shared" ca="1" si="59"/>
        <v>99.617870386720824</v>
      </c>
      <c r="P120" s="156">
        <f t="shared" ca="1" si="60"/>
        <v>99.617870386720824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84945</v>
      </c>
      <c r="M122" s="168">
        <f ca="1">IFERROR(__xludf.DUMMYFUNCTION("IMPORTRANGE(""https://docs.google.com/spreadsheets/d/1Yj_ptqi66GCucihVvJfMjLAmec39IyEx_6qawtMGysU/edit?usp=sharing"",""สบก!BA40"")"),84945)</f>
        <v>84945</v>
      </c>
      <c r="N122" s="169">
        <f ca="1">IFERROR(__xludf.DUMMYFUNCTION("IMPORTRANGE(""https://docs.google.com/spreadsheets/d/1Yj_ptqi66GCucihVvJfMjLAmec39IyEx_6qawtMGysU/edit?usp=sharing"",""สบก!BB40"")"),84620.4)</f>
        <v>84620.4</v>
      </c>
      <c r="O122" s="169">
        <f ca="1">IF(L122&gt;0,N122*100/L122,0)</f>
        <v>99.617870386720824</v>
      </c>
      <c r="P122" s="169">
        <f ca="1">IF(M122&gt;0,N122*100/M122,0)</f>
        <v>99.617870386720824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IFERROR(__xludf.DUMMYFUNCTION("IMPORTRANGE(""https://docs.google.com/spreadsheets/d/1Yj_ptqi66GCucihVvJfMjLAmec39IyEx_6qawtMGysU/edit?usp=sharing"",""สบก!AX40"")"),84945)</f>
        <v>84945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83000</v>
      </c>
      <c r="N140" s="152">
        <f t="shared" ca="1" si="64"/>
        <v>60980</v>
      </c>
      <c r="O140" s="151">
        <f t="shared" ref="O140:O142" ca="1" si="65">IF(L140&gt;0,N140*100/L140,0)</f>
        <v>73.46987951807229</v>
      </c>
      <c r="P140" s="151">
        <f t="shared" ref="P140:P142" ca="1" si="66">IF(M140&gt;0,N140*100/M140,0)</f>
        <v>73.46987951807229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83000</v>
      </c>
      <c r="N142" s="157">
        <f t="shared" ca="1" si="68"/>
        <v>60980</v>
      </c>
      <c r="O142" s="156">
        <f t="shared" ca="1" si="65"/>
        <v>73.46987951807229</v>
      </c>
      <c r="P142" s="156">
        <f t="shared" ca="1" si="66"/>
        <v>73.46987951807229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IFERROR(__xludf.DUMMYFUNCTION("IMPORTRANGE(""https://docs.google.com/spreadsheets/d/1Yj_ptqi66GCucihVvJfMjLAmec39IyEx_6qawtMGysU/edit?usp=sharing"",""สบก!BJ40"")"),83000)</f>
        <v>83000</v>
      </c>
      <c r="N144" s="169">
        <f ca="1">IFERROR(__xludf.DUMMYFUNCTION("IMPORTRANGE(""https://docs.google.com/spreadsheets/d/1Yj_ptqi66GCucihVvJfMjLAmec39IyEx_6qawtMGysU/edit?usp=sharing"",""สบก!BK40"")"),60980)</f>
        <v>60980</v>
      </c>
      <c r="O144" s="169">
        <f ca="1">IF(L144&gt;0,N144*100/L144,0)</f>
        <v>73.46987951807229</v>
      </c>
      <c r="P144" s="169">
        <f ca="1">IF(M144&gt;0,N144*100/M144,0)</f>
        <v>73.46987951807229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IFERROR(__xludf.DUMMYFUNCTION("IMPORTRANGE(""https://docs.google.com/spreadsheets/d/1XL5vhW3sbDhbH9Cz0tuDiY8C3ctxq1tqvaCgkFb8cCA/edit?usp=sharing"",""ชัยภูมิ!J88"")"),1)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IFERROR(__xludf.DUMMYFUNCTION("IMPORTRANGE(""https://docs.google.com/spreadsheets/d/1XL5vhW3sbDhbH9Cz0tuDiY8C3ctxq1tqvaCgkFb8cCA/edit?usp=sharing"",""ชัยภูมิ!I89"")"),4)</f>
        <v>4</v>
      </c>
      <c r="J164" s="285">
        <f ca="1">IFERROR(__xludf.DUMMYFUNCTION("IMPORTRANGE(""https://docs.google.com/spreadsheets/d/1XL5vhW3sbDhbH9Cz0tuDiY8C3ctxq1tqvaCgkFb8cCA/edit?usp=sharing"",""ชัยภูมิ!J89"")"),4)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IFERROR(__xludf.DUMMYFUNCTION("IMPORTRANGE(""https://docs.google.com/spreadsheets/d/1XL5vhW3sbDhbH9Cz0tuDiY8C3ctxq1tqvaCgkFb8cCA/edit?usp=sharing"",""ชัยภูมิ!J100"")"),1)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IFERROR(__xludf.DUMMYFUNCTION("IMPORTRANGE(""https://docs.google.com/spreadsheets/d/1XL5vhW3sbDhbH9Cz0tuDiY8C3ctxq1tqvaCgkFb8cCA/edit?usp=sharing"",""ชัยภูมิ!I101"")"),0)</f>
        <v>0</v>
      </c>
      <c r="J176" s="285">
        <f ca="1">IFERROR(__xludf.DUMMYFUNCTION("IMPORTRANGE(""https://docs.google.com/spreadsheets/d/1XL5vhW3sbDhbH9Cz0tuDiY8C3ctxq1tqvaCgkFb8cCA/edit?usp=sharing"",""ชัยภูมิ!J101"")"),0)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IFERROR(__xludf.DUMMYFUNCTION("IMPORTRANGE(""https://docs.google.com/spreadsheets/d/1XL5vhW3sbDhbH9Cz0tuDiY8C3ctxq1tqvaCgkFb8cCA/edit?usp=sharing"",""ชัยภูมิ!I114"")"),50000)</f>
        <v>50000</v>
      </c>
      <c r="J189" s="285">
        <f ca="1">IFERROR(__xludf.DUMMYFUNCTION("IMPORTRANGE(""https://docs.google.com/spreadsheets/d/1XL5vhW3sbDhbH9Cz0tuDiY8C3ctxq1tqvaCgkFb8cCA/edit?usp=sharing"",""ชัยภูมิ!J114"")"),0)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IFERROR(__xludf.DUMMYFUNCTION("IMPORTRANGE(""https://docs.google.com/spreadsheets/d/1XL5vhW3sbDhbH9Cz0tuDiY8C3ctxq1tqvaCgkFb8cCA/edit?usp=sharing"",""ชัยภูมิ!J128"")"),0)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IFERROR(__xludf.DUMMYFUNCTION("IMPORTRANGE(""https://docs.google.com/spreadsheets/d/1XL5vhW3sbDhbH9Cz0tuDiY8C3ctxq1tqvaCgkFb8cCA/edit?usp=sharing"",""ชัยภูมิ!I129"")"),0)</f>
        <v>0</v>
      </c>
      <c r="J204" s="285">
        <f ca="1">IFERROR(__xludf.DUMMYFUNCTION("IMPORTRANGE(""https://docs.google.com/spreadsheets/d/1XL5vhW3sbDhbH9Cz0tuDiY8C3ctxq1tqvaCgkFb8cCA/edit?usp=sharing"",""ชัยภูมิ!J129"")"),0)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IFERROR(__xludf.DUMMYFUNCTION("IMPORTRANGE(""https://docs.google.com/spreadsheets/d/1XL5vhW3sbDhbH9Cz0tuDiY8C3ctxq1tqvaCgkFb8cCA/edit?usp=sharing"",""ชัยภูมิ!I169"")"),0)</f>
        <v>0</v>
      </c>
      <c r="J249" s="317">
        <f ca="1">IFERROR(__xludf.DUMMYFUNCTION("IMPORTRANGE(""https://docs.google.com/spreadsheets/d/1XL5vhW3sbDhbH9Cz0tuDiY8C3ctxq1tqvaCgkFb8cCA/edit?usp=sharing"",""ชัยภูมิ!J169"")"),0)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IFERROR(__xludf.DUMMYFUNCTION("IMPORTRANGE(""https://docs.google.com/spreadsheets/d/1XL5vhW3sbDhbH9Cz0tuDiY8C3ctxq1tqvaCgkFb8cCA/edit?usp=sharing"",""ชัยภูมิ!J184"")"),0)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IFERROR(__xludf.DUMMYFUNCTION("IMPORTRANGE(""https://docs.google.com/spreadsheets/d/1XL5vhW3sbDhbH9Cz0tuDiY8C3ctxq1tqvaCgkFb8cCA/edit?usp=sharing"",""ชัยภูมิ!I185"")"),15)</f>
        <v>15</v>
      </c>
      <c r="J270" s="317">
        <f ca="1">IFERROR(__xludf.DUMMYFUNCTION("IMPORTRANGE(""https://docs.google.com/spreadsheets/d/1XL5vhW3sbDhbH9Cz0tuDiY8C3ctxq1tqvaCgkFb8cCA/edit?usp=sharing"",""ชัยภูมิ!J185"")"),15)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156288</v>
      </c>
      <c r="O271" s="151">
        <f t="shared" ref="O271:O273" ca="1" si="84">IF(L271&gt;0,N271*100/L271,0)</f>
        <v>48.962406015037594</v>
      </c>
      <c r="P271" s="151">
        <f t="shared" ref="P271:P273" ca="1" si="85">IF(M271&gt;0,N271*100/M271,0)</f>
        <v>48.962406015037594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319200</v>
      </c>
      <c r="N273" s="157">
        <f t="shared" ca="1" si="87"/>
        <v>156288</v>
      </c>
      <c r="O273" s="156">
        <f t="shared" ca="1" si="84"/>
        <v>48.962406015037594</v>
      </c>
      <c r="P273" s="156">
        <f t="shared" ca="1" si="85"/>
        <v>48.962406015037594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IFERROR(__xludf.DUMMYFUNCTION("IMPORTRANGE(""https://docs.google.com/spreadsheets/d/1Yj_ptqi66GCucihVvJfMjLAmec39IyEx_6qawtMGysU/edit?usp=sharing"",""สบก!CK40"")"),319200)</f>
        <v>319200</v>
      </c>
      <c r="N275" s="169">
        <f ca="1">IFERROR(__xludf.DUMMYFUNCTION("IMPORTRANGE(""https://docs.google.com/spreadsheets/d/1Yj_ptqi66GCucihVvJfMjLAmec39IyEx_6qawtMGysU/edit?usp=sharing"",""สบก!CL40"")"),156288)</f>
        <v>156288</v>
      </c>
      <c r="O275" s="169">
        <f ca="1">IF(L275&gt;0,N275*100/L275,0)</f>
        <v>48.962406015037594</v>
      </c>
      <c r="P275" s="169">
        <f ca="1">IF(M275&gt;0,N275*100/M275,0)</f>
        <v>48.962406015037594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IFERROR(__xludf.DUMMYFUNCTION("IMPORTRANGE(""https://docs.google.com/spreadsheets/d/1XL5vhW3sbDhbH9Cz0tuDiY8C3ctxq1tqvaCgkFb8cCA/edit?usp=sharing"",""ชัยภูมิ!J197"")"),1)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IFERROR(__xludf.DUMMYFUNCTION("IMPORTRANGE(""https://docs.google.com/spreadsheets/d/1XL5vhW3sbDhbH9Cz0tuDiY8C3ctxq1tqvaCgkFb8cCA/edit?usp=sharing"",""ชัยภูมิ!I199"")"),0)</f>
        <v>0</v>
      </c>
      <c r="J289" s="317">
        <f ca="1">IFERROR(__xludf.DUMMYFUNCTION("IMPORTRANGE(""https://docs.google.com/spreadsheets/d/1XL5vhW3sbDhbH9Cz0tuDiY8C3ctxq1tqvaCgkFb8cCA/edit?usp=sharing"",""ชัยภูมิ!J199"")"),0)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IFERROR(__xludf.DUMMYFUNCTION("IMPORTRANGE(""https://docs.google.com/spreadsheets/d/1XL5vhW3sbDhbH9Cz0tuDiY8C3ctxq1tqvaCgkFb8cCA/edit?usp=sharing"",""ชัยภูมิ!I214"")"),0)</f>
        <v>0</v>
      </c>
      <c r="J309" s="334">
        <f ca="1">IFERROR(__xludf.DUMMYFUNCTION("IMPORTRANGE(""https://docs.google.com/spreadsheets/d/1XL5vhW3sbDhbH9Cz0tuDiY8C3ctxq1tqvaCgkFb8cCA/edit?usp=sharing"",""ชัยภูมิ!J214"")"),0)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IFERROR(__xludf.DUMMYFUNCTION("IMPORTRANGE(""https://docs.google.com/spreadsheets/d/1XL5vhW3sbDhbH9Cz0tuDiY8C3ctxq1tqvaCgkFb8cCA/edit?usp=sharing"",""ชัยภูมิ!I228"")"),920)</f>
        <v>920</v>
      </c>
      <c r="J328" s="340">
        <f ca="1">IFERROR(__xludf.DUMMYFUNCTION("IMPORTRANGE(""https://docs.google.com/spreadsheets/d/1XL5vhW3sbDhbH9Cz0tuDiY8C3ctxq1tqvaCgkFb8cCA/edit?usp=sharing"",""ชัยภูมิ!J228"")"),179)</f>
        <v>179</v>
      </c>
      <c r="K328" s="318">
        <f ca="1">IF(I328&gt;0,J328*100/I328,0)</f>
        <v>19.456521739130434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2187270</v>
      </c>
      <c r="M329" s="152">
        <f t="shared" ca="1" si="98"/>
        <v>2359270</v>
      </c>
      <c r="N329" s="152">
        <f t="shared" ca="1" si="98"/>
        <v>1899448</v>
      </c>
      <c r="O329" s="151">
        <f t="shared" ref="O329:O331" ca="1" si="99">IF(L329&gt;0,N329*100/L329,0)</f>
        <v>86.841039286416404</v>
      </c>
      <c r="P329" s="151">
        <f t="shared" ref="P329:P331" ca="1" si="100">IF(M329&gt;0,N329*100/M329,0)</f>
        <v>80.509988259080146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2187270</v>
      </c>
      <c r="M331" s="157">
        <f t="shared" ca="1" si="102"/>
        <v>2359270</v>
      </c>
      <c r="N331" s="157">
        <f t="shared" ca="1" si="102"/>
        <v>1899448</v>
      </c>
      <c r="O331" s="156">
        <f t="shared" ca="1" si="99"/>
        <v>86.841039286416404</v>
      </c>
      <c r="P331" s="156">
        <f t="shared" ca="1" si="100"/>
        <v>80.509988259080146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2187270</v>
      </c>
      <c r="M333" s="168">
        <f ca="1">IFERROR(__xludf.DUMMYFUNCTION("IMPORTRANGE(""https://docs.google.com/spreadsheets/d/1Yj_ptqi66GCucihVvJfMjLAmec39IyEx_6qawtMGysU/edit?usp=sharing"",""สบก!DL40"")"),2359270)</f>
        <v>2359270</v>
      </c>
      <c r="N333" s="169">
        <f ca="1">IFERROR(__xludf.DUMMYFUNCTION("IMPORTRANGE(""https://docs.google.com/spreadsheets/d/1Yj_ptqi66GCucihVvJfMjLAmec39IyEx_6qawtMGysU/edit?usp=sharing"",""สบก!DM40"")"),1899448)</f>
        <v>1899448</v>
      </c>
      <c r="O333" s="169">
        <f ca="1">IF(L333&gt;0,N333*100/L333,0)</f>
        <v>86.841039286416404</v>
      </c>
      <c r="P333" s="169">
        <f ca="1">IF(M333&gt;0,N333*100/M333,0)</f>
        <v>80.509988259080146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IFERROR(__xludf.DUMMYFUNCTION("IMPORTRANGE(""https://docs.google.com/spreadsheets/d/1Yj_ptqi66GCucihVvJfMjLAmec39IyEx_6qawtMGysU/edit?usp=sharing"",""สบก!DI40"")"),1356970)</f>
        <v>1356970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IFERROR(__xludf.DUMMYFUNCTION("IMPORTRANGE(""https://docs.google.com/spreadsheets/d/1XL5vhW3sbDhbH9Cz0tuDiY8C3ctxq1tqvaCgkFb8cCA/edit?usp=sharing"",""ชัยภูมิ!J234"")"),628)</f>
        <v>628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IFERROR(__xludf.DUMMYFUNCTION("IMPORTRANGE(""https://docs.google.com/spreadsheets/d/1XL5vhW3sbDhbH9Cz0tuDiY8C3ctxq1tqvaCgkFb8cCA/edit?usp=sharing"",""ชัยภูมิ!J235"")"),6151.63)</f>
        <v>6151.63</v>
      </c>
      <c r="K340" s="343">
        <f t="shared" ca="1" si="103"/>
        <v>55.923909090909092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IFERROR(__xludf.DUMMYFUNCTION("IMPORTRANGE(""https://docs.google.com/spreadsheets/d/1XL5vhW3sbDhbH9Cz0tuDiY8C3ctxq1tqvaCgkFb8cCA/edit?usp=sharing"",""ชัยภูมิ!J236"")"),640)</f>
        <v>640</v>
      </c>
      <c r="K341" s="343">
        <f t="shared" ca="1" si="103"/>
        <v>69.565217391304344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IFERROR(__xludf.DUMMYFUNCTION("IMPORTRANGE(""https://docs.google.com/spreadsheets/d/1XL5vhW3sbDhbH9Cz0tuDiY8C3ctxq1tqvaCgkFb8cCA/edit?usp=sharing"",""ชัยภูมิ!J237"")"),8465.92)</f>
        <v>8465.92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IFERROR(__xludf.DUMMYFUNCTION("IMPORTRANGE(""https://docs.google.com/spreadsheets/d/1XL5vhW3sbDhbH9Cz0tuDiY8C3ctxq1tqvaCgkFb8cCA/edit?usp=sharing"",""ชัยภูมิ!J240"")"),179)</f>
        <v>179</v>
      </c>
      <c r="K345" s="343">
        <f t="shared" ca="1" si="103"/>
        <v>19.456521739130434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IFERROR(__xludf.DUMMYFUNCTION("IMPORTRANGE(""https://docs.google.com/spreadsheets/d/1XL5vhW3sbDhbH9Cz0tuDiY8C3ctxq1tqvaCgkFb8cCA/edit?usp=sharing"",""ชัยภูมิ!J241"")"),2852.54)</f>
        <v>2852.54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IFERROR(__xludf.DUMMYFUNCTION("IMPORTRANGE(""https://docs.google.com/spreadsheets/d/1XL5vhW3sbDhbH9Cz0tuDiY8C3ctxq1tqvaCgkFb8cCA/edit?usp=sharing"",""ชัยภูมิ!L242"")"),2065683)</f>
        <v>2065683</v>
      </c>
      <c r="M347" s="358"/>
      <c r="N347" s="358">
        <f ca="1">IFERROR(__xludf.DUMMYFUNCTION("IMPORTRANGE(""https://docs.google.com/spreadsheets/d/1XL5vhW3sbDhbH9Cz0tuDiY8C3ctxq1tqvaCgkFb8cCA/edit?usp=sharing"",""ชัยภูมิ!M242"")"),1236894)</f>
        <v>1236894</v>
      </c>
      <c r="O347" s="358">
        <f ca="1">+IF(L347&gt;0,N347*100/L347,0)</f>
        <v>59.878209773716492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IFERROR(__xludf.DUMMYFUNCTION("IMPORTRANGE(""https://docs.google.com/spreadsheets/d/1XL5vhW3sbDhbH9Cz0tuDiY8C3ctxq1tqvaCgkFb8cCA/edit?usp=sharing"",""ชัยภูมิ!M275"")"),636519)</f>
        <v>636519</v>
      </c>
      <c r="O380" s="373">
        <f ca="1">+IF(L380&gt;0,N380*100/L380,0)</f>
        <v>61.886886010967217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IFERROR(__xludf.DUMMYFUNCTION("IMPORTRANGE(""https://docs.google.com/spreadsheets/d/1XL5vhW3sbDhbH9Cz0tuDiY8C3ctxq1tqvaCgkFb8cCA/edit?usp=sharing"",""ชัยภูมิ!M278"")"),636519)</f>
        <v>636519</v>
      </c>
      <c r="O383" s="165">
        <f t="shared" ca="1" si="109"/>
        <v>61.886886010967217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IFERROR(__xludf.DUMMYFUNCTION("IMPORTRANGE(""https://docs.google.com/spreadsheets/d/1XL5vhW3sbDhbH9Cz0tuDiY8C3ctxq1tqvaCgkFb8cCA/edit?usp=sharing"",""ชัยภูมิ!M280"")"),636519)</f>
        <v>636519</v>
      </c>
      <c r="O385" s="169">
        <f t="shared" ca="1" si="109"/>
        <v>61.886886010967217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IFERROR(__xludf.DUMMYFUNCTION("IMPORTRANGE(""https://docs.google.com/spreadsheets/d/1XL5vhW3sbDhbH9Cz0tuDiY8C3ctxq1tqvaCgkFb8cCA/edit?usp=sharing"",""ชัยภูมิ!M281"")"),70219)</f>
        <v>70219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IFERROR(__xludf.DUMMYFUNCTION("IMPORTRANGE(""https://docs.google.com/spreadsheets/d/1XL5vhW3sbDhbH9Cz0tuDiY8C3ctxq1tqvaCgkFb8cCA/edit?usp=sharing"",""ชัยภูมิ!M282"")"),452321)</f>
        <v>452321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IFERROR(__xludf.DUMMYFUNCTION("IMPORTRANGE(""https://docs.google.com/spreadsheets/d/1XL5vhW3sbDhbH9Cz0tuDiY8C3ctxq1tqvaCgkFb8cCA/edit?usp=sharing"",""ชัยภูมิ!M283"")"),92529)</f>
        <v>92529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IFERROR(__xludf.DUMMYFUNCTION("IMPORTRANGE(""https://docs.google.com/spreadsheets/d/1XL5vhW3sbDhbH9Cz0tuDiY8C3ctxq1tqvaCgkFb8cCA/edit?usp=sharing"",""ชัยภูมิ!M284"")"),21450)</f>
        <v>21450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IFERROR(__xludf.DUMMYFUNCTION("IMPORTRANGE(""https://docs.google.com/spreadsheets/d/1XL5vhW3sbDhbH9Cz0tuDiY8C3ctxq1tqvaCgkFb8cCA/edit?usp=sharing"",""ชัยภูมิ!J293"")"),216)</f>
        <v>216</v>
      </c>
      <c r="K398" s="163">
        <f t="shared" ca="1" si="110"/>
        <v>216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IFERROR(__xludf.DUMMYFUNCTION("IMPORTRANGE(""https://docs.google.com/spreadsheets/d/1XL5vhW3sbDhbH9Cz0tuDiY8C3ctxq1tqvaCgkFb8cCA/edit?usp=sharing"",""ชัยภูมิ!M296"")"),94237)</f>
        <v>94237</v>
      </c>
      <c r="O401" s="373">
        <f ca="1">+IF(L401&gt;0,N401*100/L401,0)</f>
        <v>92.461734693877546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IFERROR(__xludf.DUMMYFUNCTION("IMPORTRANGE(""https://docs.google.com/spreadsheets/d/1XL5vhW3sbDhbH9Cz0tuDiY8C3ctxq1tqvaCgkFb8cCA/edit?usp=sharing"",""ชัยภูมิ!M299"")"),94237)</f>
        <v>94237</v>
      </c>
      <c r="O404" s="169">
        <f t="shared" ca="1" si="112"/>
        <v>92.461734693877546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IFERROR(__xludf.DUMMYFUNCTION("IMPORTRANGE(""https://docs.google.com/spreadsheets/d/1XL5vhW3sbDhbH9Cz0tuDiY8C3ctxq1tqvaCgkFb8cCA/edit?usp=sharing"",""ชัยภูมิ!M301"")"),94237)</f>
        <v>94237</v>
      </c>
      <c r="O406" s="169">
        <f t="shared" ca="1" si="112"/>
        <v>92.461734693877546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IFERROR(__xludf.DUMMYFUNCTION("IMPORTRANGE(""https://docs.google.com/spreadsheets/d/1XL5vhW3sbDhbH9Cz0tuDiY8C3ctxq1tqvaCgkFb8cCA/edit?usp=sharing"",""ชัยภูมิ!M302"")"),65200)</f>
        <v>65200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IFERROR(__xludf.DUMMYFUNCTION("IMPORTRANGE(""https://docs.google.com/spreadsheets/d/1XL5vhW3sbDhbH9Cz0tuDiY8C3ctxq1tqvaCgkFb8cCA/edit?usp=sharing"",""ชัยภูมิ!M305"")"),15037)</f>
        <v>15037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IFERROR(__xludf.DUMMYFUNCTION("IMPORTRANGE(""https://docs.google.com/spreadsheets/d/1XL5vhW3sbDhbH9Cz0tuDiY8C3ctxq1tqvaCgkFb8cCA/edit?usp=sharing"",""ชัยภูมิ!J329"")"),0)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IFERROR(__xludf.DUMMYFUNCTION("IMPORTRANGE(""https://docs.google.com/spreadsheets/d/1XL5vhW3sbDhbH9Cz0tuDiY8C3ctxq1tqvaCgkFb8cCA/edit?usp=sharing"",""ชัยภูมิ!M330"")"),97378)</f>
        <v>97378</v>
      </c>
      <c r="O435" s="412">
        <f t="shared" ref="O435:O439" ca="1" si="114">+IF(L435&gt;0,N435*100/L435,0)</f>
        <v>91.866037735849062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IFERROR(__xludf.DUMMYFUNCTION("IMPORTRANGE(""https://docs.google.com/spreadsheets/d/1XL5vhW3sbDhbH9Cz0tuDiY8C3ctxq1tqvaCgkFb8cCA/edit?usp=sharing"",""ชัยภูมิ!M332"")"),97378)</f>
        <v>97378</v>
      </c>
      <c r="O437" s="169">
        <f t="shared" ca="1" si="114"/>
        <v>91.866037735849062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IFERROR(__xludf.DUMMYFUNCTION("IMPORTRANGE(""https://docs.google.com/spreadsheets/d/1XL5vhW3sbDhbH9Cz0tuDiY8C3ctxq1tqvaCgkFb8cCA/edit?usp=sharing"",""ชัยภูมิ!M334"")"),97378)</f>
        <v>97378</v>
      </c>
      <c r="O439" s="169">
        <f t="shared" ca="1" si="114"/>
        <v>91.866037735849062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IFERROR(__xludf.DUMMYFUNCTION("IMPORTRANGE(""https://docs.google.com/spreadsheets/d/1XL5vhW3sbDhbH9Cz0tuDiY8C3ctxq1tqvaCgkFb8cCA/edit?usp=sharing"",""ชัยภูมิ!M336"")"),10548)</f>
        <v>10548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IFERROR(__xludf.DUMMYFUNCTION("IMPORTRANGE(""https://docs.google.com/spreadsheets/d/1XL5vhW3sbDhbH9Cz0tuDiY8C3ctxq1tqvaCgkFb8cCA/edit?usp=sharing"",""ชัยภูมิ!M338"")"),81830)</f>
        <v>81830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IFERROR(__xludf.DUMMYFUNCTION("IMPORTRANGE(""https://docs.google.com/spreadsheets/d/1XL5vhW3sbDhbH9Cz0tuDiY8C3ctxq1tqvaCgkFb8cCA/edit?usp=sharing"",""ชัยภูมิ!J349"")"),1)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IFERROR(__xludf.DUMMYFUNCTION("IMPORTRANGE(""https://docs.google.com/spreadsheets/d/1XL5vhW3sbDhbH9Cz0tuDiY8C3ctxq1tqvaCgkFb8cCA/edit?usp=sharing"",""ชัยภูมิ!L350"")"),611403)</f>
        <v>611403</v>
      </c>
      <c r="M455" s="373"/>
      <c r="N455" s="373">
        <f ca="1">IFERROR(__xludf.DUMMYFUNCTION("IMPORTRANGE(""https://docs.google.com/spreadsheets/d/1XL5vhW3sbDhbH9Cz0tuDiY8C3ctxq1tqvaCgkFb8cCA/edit?usp=sharing"",""ชัยภูมิ!M350"")"),255363)</f>
        <v>255363</v>
      </c>
      <c r="O455" s="373">
        <f t="shared" ref="O455:O459" ca="1" si="116">+IF(L455&gt;0,N455*100/L455,0)</f>
        <v>41.766723421376739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IFERROR(__xludf.DUMMYFUNCTION("IMPORTRANGE(""https://docs.google.com/spreadsheets/d/1XL5vhW3sbDhbH9Cz0tuDiY8C3ctxq1tqvaCgkFb8cCA/edit?usp=sharing"",""ชัยภูมิ!L352"")"),611403)</f>
        <v>611403</v>
      </c>
      <c r="M457" s="165"/>
      <c r="N457" s="169">
        <f ca="1">IFERROR(__xludf.DUMMYFUNCTION("IMPORTRANGE(""https://docs.google.com/spreadsheets/d/1XL5vhW3sbDhbH9Cz0tuDiY8C3ctxq1tqvaCgkFb8cCA/edit?usp=sharing"",""ชัยภูมิ!M352"")"),255363)</f>
        <v>255363</v>
      </c>
      <c r="O457" s="169">
        <f t="shared" ca="1" si="116"/>
        <v>41.766723421376739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IFERROR(__xludf.DUMMYFUNCTION("IMPORTRANGE(""https://docs.google.com/spreadsheets/d/1XL5vhW3sbDhbH9Cz0tuDiY8C3ctxq1tqvaCgkFb8cCA/edit?usp=sharing"",""ชัยภูมิ!L354"")"),611403)</f>
        <v>611403</v>
      </c>
      <c r="M459" s="169"/>
      <c r="N459" s="169">
        <f ca="1">IFERROR(__xludf.DUMMYFUNCTION("IMPORTRANGE(""https://docs.google.com/spreadsheets/d/1XL5vhW3sbDhbH9Cz0tuDiY8C3ctxq1tqvaCgkFb8cCA/edit?usp=sharing"",""ชัยภูมิ!M354"")"),255363)</f>
        <v>255363</v>
      </c>
      <c r="O459" s="169">
        <f t="shared" ca="1" si="116"/>
        <v>41.766723421376739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IFERROR(__xludf.DUMMYFUNCTION("IMPORTRANGE(""https://docs.google.com/spreadsheets/d/1XL5vhW3sbDhbH9Cz0tuDiY8C3ctxq1tqvaCgkFb8cCA/edit?usp=sharing"",""ชัยภูมิ!M358"")"),255363)</f>
        <v>255363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IFERROR(__xludf.DUMMYFUNCTION("IMPORTRANGE(""https://docs.google.com/spreadsheets/d/1XL5vhW3sbDhbH9Cz0tuDiY8C3ctxq1tqvaCgkFb8cCA/edit?usp=sharing"",""ชัยภูมิ!J359"")"),60119)</f>
        <v>60119</v>
      </c>
      <c r="K464" s="269">
        <f t="shared" ref="K464:K515" ca="1" si="117">IF(I464&gt;0,J464*100/I464,0)</f>
        <v>100.00166339532254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IFERROR(__xludf.DUMMYFUNCTION("IMPORTRANGE(""https://docs.google.com/spreadsheets/d/1XL5vhW3sbDhbH9Cz0tuDiY8C3ctxq1tqvaCgkFb8cCA/edit?usp=sharing"",""ชัยภูมิ!I412"")"),0)</f>
        <v>0</v>
      </c>
      <c r="J517" s="285">
        <f ca="1">IFERROR(__xludf.DUMMYFUNCTION("IMPORTRANGE(""https://docs.google.com/spreadsheets/d/1XL5vhW3sbDhbH9Cz0tuDiY8C3ctxq1tqvaCgkFb8cCA/edit?usp=sharing"",""ชัยภูมิ!J412"")"),0)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IFERROR(__xludf.DUMMYFUNCTION("IMPORTRANGE(""https://docs.google.com/spreadsheets/d/1XL5vhW3sbDhbH9Cz0tuDiY8C3ctxq1tqvaCgkFb8cCA/edit?usp=sharing"",""ชัยภูมิ!I413"")"),0)</f>
        <v>0</v>
      </c>
      <c r="J518" s="285">
        <f ca="1">IFERROR(__xludf.DUMMYFUNCTION("IMPORTRANGE(""https://docs.google.com/spreadsheets/d/1XL5vhW3sbDhbH9Cz0tuDiY8C3ctxq1tqvaCgkFb8cCA/edit?usp=sharing"",""ชัยภูมิ!J413"")"),0)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IFERROR(__xludf.DUMMYFUNCTION("IMPORTRANGE(""https://docs.google.com/spreadsheets/d/1XL5vhW3sbDhbH9Cz0tuDiY8C3ctxq1tqvaCgkFb8cCA/edit?usp=sharing"",""ชัยภูมิ!J418"")"),37)</f>
        <v>37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IFERROR(__xludf.DUMMYFUNCTION("IMPORTRANGE(""https://docs.google.com/spreadsheets/d/1XL5vhW3sbDhbH9Cz0tuDiY8C3ctxq1tqvaCgkFb8cCA/edit?usp=sharing"",""ชัยภูมิ!I420"")"),37)</f>
        <v>37</v>
      </c>
      <c r="J525" s="285">
        <f ca="1">IFERROR(__xludf.DUMMYFUNCTION("IMPORTRANGE(""https://docs.google.com/spreadsheets/d/1XL5vhW3sbDhbH9Cz0tuDiY8C3ctxq1tqvaCgkFb8cCA/edit?usp=sharing"",""ชัยภูมิ!J420"")"),0)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IFERROR(__xludf.DUMMYFUNCTION("IMPORTRANGE(""https://docs.google.com/spreadsheets/d/1XL5vhW3sbDhbH9Cz0tuDiY8C3ctxq1tqvaCgkFb8cCA/edit?usp=sharing"",""ชัยภูมิ!I421"")"),4)</f>
        <v>4</v>
      </c>
      <c r="J526" s="285">
        <f ca="1">IFERROR(__xludf.DUMMYFUNCTION("IMPORTRANGE(""https://docs.google.com/spreadsheets/d/1XL5vhW3sbDhbH9Cz0tuDiY8C3ctxq1tqvaCgkFb8cCA/edit?usp=sharing"",""ชัยภูมิ!J421"")"),0)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IFERROR(__xludf.DUMMYFUNCTION("IMPORTRANGE(""https://docs.google.com/spreadsheets/d/1XL5vhW3sbDhbH9Cz0tuDiY8C3ctxq1tqvaCgkFb8cCA/edit?usp=sharing"",""ชัยภูมิ!L430"")"),37740)</f>
        <v>37740</v>
      </c>
      <c r="M535" s="165"/>
      <c r="N535" s="169">
        <f ca="1">IFERROR(__xludf.DUMMYFUNCTION("IMPORTRANGE(""https://docs.google.com/spreadsheets/d/1XL5vhW3sbDhbH9Cz0tuDiY8C3ctxq1tqvaCgkFb8cCA/edit?usp=sharing"",""ชัยภูมิ!M430"")"),27634)</f>
        <v>27634</v>
      </c>
      <c r="O535" s="169">
        <f t="shared" ca="1" si="118"/>
        <v>73.222045574986751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IFERROR(__xludf.DUMMYFUNCTION("IMPORTRANGE(""https://docs.google.com/spreadsheets/d/1XL5vhW3sbDhbH9Cz0tuDiY8C3ctxq1tqvaCgkFb8cCA/edit?usp=sharing"",""ชัยภูมิ!L432"")"),37740)</f>
        <v>37740</v>
      </c>
      <c r="M537" s="169"/>
      <c r="N537" s="169">
        <f ca="1">IFERROR(__xludf.DUMMYFUNCTION("IMPORTRANGE(""https://docs.google.com/spreadsheets/d/1XL5vhW3sbDhbH9Cz0tuDiY8C3ctxq1tqvaCgkFb8cCA/edit?usp=sharing"",""ชัยภูมิ!M432"")"),27634)</f>
        <v>27634</v>
      </c>
      <c r="O537" s="169">
        <f t="shared" ca="1" si="118"/>
        <v>73.222045574986751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IFERROR(__xludf.DUMMYFUNCTION("IMPORTRANGE(""https://docs.google.com/spreadsheets/d/1XL5vhW3sbDhbH9Cz0tuDiY8C3ctxq1tqvaCgkFb8cCA/edit?usp=sharing"",""ชัยภูมิ!J459"")"),8197)</f>
        <v>8197</v>
      </c>
      <c r="K564" s="372">
        <f ca="1">IF(I564&gt;0,J564*100/I564,0)</f>
        <v>178.19565217391303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IFERROR(__xludf.DUMMYFUNCTION("IMPORTRANGE(""https://docs.google.com/spreadsheets/d/1XL5vhW3sbDhbH9Cz0tuDiY8C3ctxq1tqvaCgkFb8cCA/edit?usp=sharing"",""ชัยภูมิ!M459"")"),125043)</f>
        <v>125043</v>
      </c>
      <c r="O564" s="373">
        <f t="shared" ref="O564:O568" ca="1" si="122">+IF(L564&gt;0,N564*100/L564,0)</f>
        <v>72.362847222222229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IFERROR(__xludf.DUMMYFUNCTION("IMPORTRANGE(""https://docs.google.com/spreadsheets/d/1XL5vhW3sbDhbH9Cz0tuDiY8C3ctxq1tqvaCgkFb8cCA/edit?usp=sharing"",""ชัยภูมิ!M461"")"),125043)</f>
        <v>125043</v>
      </c>
      <c r="O566" s="169">
        <f t="shared" ca="1" si="122"/>
        <v>72.362847222222229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IFERROR(__xludf.DUMMYFUNCTION("IMPORTRANGE(""https://docs.google.com/spreadsheets/d/1XL5vhW3sbDhbH9Cz0tuDiY8C3ctxq1tqvaCgkFb8cCA/edit?usp=sharing"",""ชัยภูมิ!M463"")"),125043)</f>
        <v>125043</v>
      </c>
      <c r="O568" s="169">
        <f t="shared" ca="1" si="122"/>
        <v>72.362847222222229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IFERROR(__xludf.DUMMYFUNCTION("IMPORTRANGE(""https://docs.google.com/spreadsheets/d/1XL5vhW3sbDhbH9Cz0tuDiY8C3ctxq1tqvaCgkFb8cCA/edit?usp=sharing"",""ชัยภูมิ!M466"")"),65278)</f>
        <v>65278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IFERROR(__xludf.DUMMYFUNCTION("IMPORTRANGE(""https://docs.google.com/spreadsheets/d/1XL5vhW3sbDhbH9Cz0tuDiY8C3ctxq1tqvaCgkFb8cCA/edit?usp=sharing"",""ชัยภูมิ!M467"")"),59765)</f>
        <v>59765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IFERROR(__xludf.DUMMYFUNCTION("IMPORTRANGE(""https://docs.google.com/spreadsheets/d/1XL5vhW3sbDhbH9Cz0tuDiY8C3ctxq1tqvaCgkFb8cCA/edit?usp=sharing"",""ชัยภูมิ!J468"")"),8197)</f>
        <v>8197</v>
      </c>
      <c r="K573" s="202">
        <f ca="1">IF(I573&gt;0,J573*100/I573,0)</f>
        <v>178.19565217391303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IFERROR(__xludf.DUMMYFUNCTION("IMPORTRANGE(""https://docs.google.com/spreadsheets/d/1XL5vhW3sbDhbH9Cz0tuDiY8C3ctxq1tqvaCgkFb8cCA/edit?usp=sharing"",""ชัยภูมิ!J471"")"),452)</f>
        <v>452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IFERROR(__xludf.DUMMYFUNCTION("IMPORTRANGE(""https://docs.google.com/spreadsheets/d/1XL5vhW3sbDhbH9Cz0tuDiY8C3ctxq1tqvaCgkFb8cCA/edit?usp=sharing"",""ชัยภูมิ!J472"")"),7711)</f>
        <v>7711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IFERROR(__xludf.DUMMYFUNCTION("IMPORTRANGE(""https://docs.google.com/spreadsheets/d/1XL5vhW3sbDhbH9Cz0tuDiY8C3ctxq1tqvaCgkFb8cCA/edit?usp=sharing"",""ชัยภูมิ!J474"")"),34)</f>
        <v>34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IFERROR(__xludf.DUMMYFUNCTION("IMPORTRANGE(""https://docs.google.com/spreadsheets/d/1XL5vhW3sbDhbH9Cz0tuDiY8C3ctxq1tqvaCgkFb8cCA/edit?usp=sharing"",""ชัยภูมิ!J486"")"),21)</f>
        <v>21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IFERROR(__xludf.DUMMYFUNCTION("IMPORTRANGE(""https://docs.google.com/spreadsheets/d/1XL5vhW3sbDhbH9Cz0tuDiY8C3ctxq1tqvaCgkFb8cCA/edit?usp=sharing"",""ชัยภูมิ!J487"")"),12)</f>
        <v>12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8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IFERROR(__xludf.DUMMYFUNCTION("IMPORTRANGE(""https://docs.google.com/spreadsheets/d/1XL5vhW3sbDhbH9Cz0tuDiY8C3ctxq1tqvaCgkFb8cCA/edit?usp=sharing"",""ชัยภูมิ!L494"")"),7300)</f>
        <v>7300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9.8630136986301373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IFERROR(__xludf.DUMMYFUNCTION("IMPORTRANGE(""https://docs.google.com/spreadsheets/d/1XL5vhW3sbDhbH9Cz0tuDiY8C3ctxq1tqvaCgkFb8cCA/edit?usp=sharing"",""ชัยภูมิ!L496"")"),7300)</f>
        <v>7300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9.8630136986301373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IFERROR(__xludf.DUMMYFUNCTION("IMPORTRANGE(""https://docs.google.com/spreadsheets/d/1XL5vhW3sbDhbH9Cz0tuDiY8C3ctxq1tqvaCgkFb8cCA/edit?usp=sharing"",""ชัยภูมิ!I523"")"),4000000)</f>
        <v>4000000</v>
      </c>
      <c r="J628" s="342">
        <f ca="1">IFERROR(__xludf.DUMMYFUNCTION("IMPORTRANGE(""https://docs.google.com/spreadsheets/d/1XL5vhW3sbDhbH9Cz0tuDiY8C3ctxq1tqvaCgkFb8cCA/edit?usp=sharing"",""ชัยภูมิ!J523"")"),2901799.77)</f>
        <v>2901799.77</v>
      </c>
      <c r="K628" s="343">
        <f t="shared" ref="K628:K635" ca="1" si="129">IF(I628&gt;0,J628*100/I628,0)</f>
        <v>72.544994250000002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IFERROR(__xludf.DUMMYFUNCTION("IMPORTRANGE(""https://docs.google.com/spreadsheets/d/1XL5vhW3sbDhbH9Cz0tuDiY8C3ctxq1tqvaCgkFb8cCA/edit?usp=sharing"",""ชัยภูมิ!I524"")"),129)</f>
        <v>129</v>
      </c>
      <c r="J629" s="342">
        <f ca="1">IFERROR(__xludf.DUMMYFUNCTION("IMPORTRANGE(""https://docs.google.com/spreadsheets/d/1XL5vhW3sbDhbH9Cz0tuDiY8C3ctxq1tqvaCgkFb8cCA/edit?usp=sharing"",""ชัยภูมิ!J524"")"),95)</f>
        <v>95</v>
      </c>
      <c r="K629" s="343">
        <f t="shared" ca="1" si="129"/>
        <v>73.643410852713174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2">
        <f ca="1">IFERROR(__xludf.DUMMYFUNCTION("IMPORTRANGE(""https://docs.google.com/spreadsheets/d/1XL5vhW3sbDhbH9Cz0tuDiY8C3ctxq1tqvaCgkFb8cCA/edit?usp=sharing"",""ชัยภูมิ!J525"")"),536944.4)</f>
        <v>536944.4</v>
      </c>
      <c r="K630" s="343">
        <f t="shared" ca="1" si="129"/>
        <v>6.5256316096126978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IFERROR(__xludf.DUMMYFUNCTION("IMPORTRANGE(""https://docs.google.com/spreadsheets/d/1XL5vhW3sbDhbH9Cz0tuDiY8C3ctxq1tqvaCgkFb8cCA/edit?usp=sharing"",""ชัยภูมิ!I526"")"),358)</f>
        <v>358</v>
      </c>
      <c r="J631" s="342">
        <f ca="1">IFERROR(__xludf.DUMMYFUNCTION("IMPORTRANGE(""https://docs.google.com/spreadsheets/d/1XL5vhW3sbDhbH9Cz0tuDiY8C3ctxq1tqvaCgkFb8cCA/edit?usp=sharing"",""ชัยภูมิ!J526"")"),92)</f>
        <v>92</v>
      </c>
      <c r="K631" s="343">
        <f t="shared" ca="1" si="129"/>
        <v>25.69832402234637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IFERROR(__xludf.DUMMYFUNCTION("IMPORTRANGE(""https://docs.google.com/spreadsheets/d/1XL5vhW3sbDhbH9Cz0tuDiY8C3ctxq1tqvaCgkFb8cCA/edit?usp=sharing"",""ชัยภูมิ!I527"")"),893351.91)</f>
        <v>893351.91</v>
      </c>
      <c r="J632" s="342">
        <f ca="1">IFERROR(__xludf.DUMMYFUNCTION("IMPORTRANGE(""https://docs.google.com/spreadsheets/d/1XL5vhW3sbDhbH9Cz0tuDiY8C3ctxq1tqvaCgkFb8cCA/edit?usp=sharing"",""ชัยภูมิ!J527"")"),2133033.99)</f>
        <v>2133033.9900000002</v>
      </c>
      <c r="K632" s="343">
        <f t="shared" ca="1" si="129"/>
        <v>238.76749645053093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IFERROR(__xludf.DUMMYFUNCTION("IMPORTRANGE(""https://docs.google.com/spreadsheets/d/1XL5vhW3sbDhbH9Cz0tuDiY8C3ctxq1tqvaCgkFb8cCA/edit?usp=sharing"",""ชัยภูมิ!I528"")"),9)</f>
        <v>9</v>
      </c>
      <c r="J633" s="342">
        <f ca="1">IFERROR(__xludf.DUMMYFUNCTION("IMPORTRANGE(""https://docs.google.com/spreadsheets/d/1XL5vhW3sbDhbH9Cz0tuDiY8C3ctxq1tqvaCgkFb8cCA/edit?usp=sharing"",""ชัยภูมิ!J528"")"),38)</f>
        <v>38</v>
      </c>
      <c r="K633" s="343">
        <f t="shared" ca="1" si="129"/>
        <v>422.22222222222223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IFERROR(__xludf.DUMMYFUNCTION("IMPORTRANGE(""https://docs.google.com/spreadsheets/d/1XL5vhW3sbDhbH9Cz0tuDiY8C3ctxq1tqvaCgkFb8cCA/edit?usp=sharing"",""ชัยภูมิ!I529"")"),3000000)</f>
        <v>3000000</v>
      </c>
      <c r="J634" s="342">
        <f ca="1">IFERROR(__xludf.DUMMYFUNCTION("IMPORTRANGE(""https://docs.google.com/spreadsheets/d/1XL5vhW3sbDhbH9Cz0tuDiY8C3ctxq1tqvaCgkFb8cCA/edit?usp=sharing"",""ชัยภูมิ!J529"")"),2960000)</f>
        <v>2960000</v>
      </c>
      <c r="K634" s="343">
        <f t="shared" ca="1" si="129"/>
        <v>98.666666666666671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IFERROR(__xludf.DUMMYFUNCTION("IMPORTRANGE(""https://docs.google.com/spreadsheets/d/1XL5vhW3sbDhbH9Cz0tuDiY8C3ctxq1tqvaCgkFb8cCA/edit?usp=sharing"",""ชัยภูมิ!I530"")"),100)</f>
        <v>100</v>
      </c>
      <c r="J635" s="505">
        <f ca="1">IFERROR(__xludf.DUMMYFUNCTION("IMPORTRANGE(""https://docs.google.com/spreadsheets/d/1XL5vhW3sbDhbH9Cz0tuDiY8C3ctxq1tqvaCgkFb8cCA/edit?usp=sharing"",""ชัยภูมิ!J530"")"),88)</f>
        <v>88</v>
      </c>
      <c r="K635" s="487">
        <f t="shared" ca="1" si="129"/>
        <v>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840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840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840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IFERROR(__xludf.DUMMYFUNCTION("IMPORTRANGE(""https://docs.google.com/spreadsheets/d/1XL5vhW3sbDhbH9Cz0tuDiY8C3ctxq1tqvaCgkFb8cCA/edit#gid=346597447"",""ชัยภูมิ!J541"")"),0)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IFERROR(__xludf.DUMMYFUNCTION("IMPORTRANGE(""https://docs.google.com/spreadsheets/d/1XL5vhW3sbDhbH9Cz0tuDiY8C3ctxq1tqvaCgkFb8cCA/edit#gid=346597447"",""ชัยภูมิ!J542"")"),1)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IFERROR(__xludf.DUMMYFUNCTION("IMPORTRANGE(""https://docs.google.com/spreadsheets/d/1XL5vhW3sbDhbH9Cz0tuDiY8C3ctxq1tqvaCgkFb8cCA/edit#gid=346597447"",""ชัยภูมิ!I543"")"),0)</f>
        <v>0</v>
      </c>
      <c r="J648" s="586">
        <f ca="1">IFERROR(__xludf.DUMMYFUNCTION("IMPORTRANGE(""https://docs.google.com/spreadsheets/d/1XL5vhW3sbDhbH9Cz0tuDiY8C3ctxq1tqvaCgkFb8cCA/edit#gid=346597447"",""ชัยภูมิ!J543"")"),0)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IFERROR(__xludf.DUMMYFUNCTION("IMPORTRANGE(""https://docs.google.com/spreadsheets/d/1XL5vhW3sbDhbH9Cz0tuDiY8C3ctxq1tqvaCgkFb8cCA/edit#gid=346597447"",""ชัยภูมิ!L543"")"),0)</f>
        <v>0</v>
      </c>
      <c r="M648" s="571"/>
      <c r="N648" s="588">
        <f ca="1">IFERROR(__xludf.DUMMYFUNCTION("IMPORTRANGE(""https://docs.google.com/spreadsheets/d/1XL5vhW3sbDhbH9Cz0tuDiY8C3ctxq1tqvaCgkFb8cCA/edit#gid=346597447"",""ชัยภูมิ!M543"")"),0)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IFERROR(__xludf.DUMMYFUNCTION("IMPORTRANGE(""https://docs.google.com/spreadsheets/d/1XL5vhW3sbDhbH9Cz0tuDiY8C3ctxq1tqvaCgkFb8cCA/edit#gid=346597447"",""ชัยภูมิ!I544"")"),7)</f>
        <v>7</v>
      </c>
      <c r="J649" s="586">
        <f ca="1">IFERROR(__xludf.DUMMYFUNCTION("IMPORTRANGE(""https://docs.google.com/spreadsheets/d/1XL5vhW3sbDhbH9Cz0tuDiY8C3ctxq1tqvaCgkFb8cCA/edit#gid=346597447"",""ชัยภูมิ!J544"")"),0)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IFERROR(__xludf.DUMMYFUNCTION("IMPORTRANGE(""https://docs.google.com/spreadsheets/d/1XL5vhW3sbDhbH9Cz0tuDiY8C3ctxq1tqvaCgkFb8cCA/edit#gid=346597447"",""ชัยภูมิ!L544"")"),840)</f>
        <v>840</v>
      </c>
      <c r="M649" s="571"/>
      <c r="N649" s="588">
        <f ca="1">IFERROR(__xludf.DUMMYFUNCTION("IMPORTRANGE(""https://docs.google.com/spreadsheets/d/1XL5vhW3sbDhbH9Cz0tuDiY8C3ctxq1tqvaCgkFb8cCA/edit#gid=346597447"",""ชัยภูมิ!M544"")"),0)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IFERROR(__xludf.DUMMYFUNCTION("IMPORTRANGE(""https://docs.google.com/spreadsheets/d/1XL5vhW3sbDhbH9Cz0tuDiY8C3ctxq1tqvaCgkFb8cCA/edit#gid=346597447"",""ชัยภูมิ!I545"")"),0)</f>
        <v>0</v>
      </c>
      <c r="J650" s="586">
        <f ca="1">IFERROR(__xludf.DUMMYFUNCTION("IMPORTRANGE(""https://docs.google.com/spreadsheets/d/1XL5vhW3sbDhbH9Cz0tuDiY8C3ctxq1tqvaCgkFb8cCA/edit#gid=346597447"",""ชัยภูมิ!J545"")"),0)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IFERROR(__xludf.DUMMYFUNCTION("IMPORTRANGE(""https://docs.google.com/spreadsheets/d/1XL5vhW3sbDhbH9Cz0tuDiY8C3ctxq1tqvaCgkFb8cCA/edit#gid=346597447"",""ชัยภูมิ!L545"")"),0)</f>
        <v>0</v>
      </c>
      <c r="M650" s="571"/>
      <c r="N650" s="588">
        <f ca="1">IFERROR(__xludf.DUMMYFUNCTION("IMPORTRANGE(""https://docs.google.com/spreadsheets/d/1XL5vhW3sbDhbH9Cz0tuDiY8C3ctxq1tqvaCgkFb8cCA/edit#gid=346597447"",""ชัยภูมิ!M545"")"),0)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IFERROR(__xludf.DUMMYFUNCTION("IMPORTRANGE(""https://docs.google.com/spreadsheets/d/1XL5vhW3sbDhbH9Cz0tuDiY8C3ctxq1tqvaCgkFb8cCA/edit#gid=346597447"",""ชัยภูมิ!I546"")"),0)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IFERROR(__xludf.DUMMYFUNCTION("IMPORTRANGE(""https://docs.google.com/spreadsheets/d/1XL5vhW3sbDhbH9Cz0tuDiY8C3ctxq1tqvaCgkFb8cCA/edit#gid=346597447"",""ชัยภูมิ!L546"")"),0)</f>
        <v>0</v>
      </c>
      <c r="M651" s="571"/>
      <c r="N651" s="588">
        <f ca="1">IFERROR(__xludf.DUMMYFUNCTION("IMPORTRANGE(""https://docs.google.com/spreadsheets/d/1XL5vhW3sbDhbH9Cz0tuDiY8C3ctxq1tqvaCgkFb8cCA/edit#gid=346597447"",""ชัยภูมิ!M546"")"),0)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IFERROR(__xludf.DUMMYFUNCTION("IMPORTRANGE(""https://docs.google.com/spreadsheets/d/1XL5vhW3sbDhbH9Cz0tuDiY8C3ctxq1tqvaCgkFb8cCA/edit#gid=346597447"",""ชัยภูมิ!J547"")"),0)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IFERROR(__xludf.DUMMYFUNCTION("IMPORTRANGE(""https://docs.google.com/spreadsheets/d/1XL5vhW3sbDhbH9Cz0tuDiY8C3ctxq1tqvaCgkFb8cCA/edit#gid=346597447"",""ชัยภูมิ!J548"")"),0)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IFERROR(__xludf.DUMMYFUNCTION("IMPORTRANGE(""https://docs.google.com/spreadsheets/d/1XL5vhW3sbDhbH9Cz0tuDiY8C3ctxq1tqvaCgkFb8cCA/edit#gid=346597447"",""ชัยภูมิ!J550"")"),0)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IFERROR(__xludf.DUMMYFUNCTION("IMPORTRANGE(""https://docs.google.com/spreadsheets/d/1XL5vhW3sbDhbH9Cz0tuDiY8C3ctxq1tqvaCgkFb8cCA/edit#gid=346597447"",""ชัยภูมิ!J551"")"),0)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IFERROR(__xludf.DUMMYFUNCTION("IMPORTRANGE(""https://docs.google.com/spreadsheets/d/1XL5vhW3sbDhbH9Cz0tuDiY8C3ctxq1tqvaCgkFb8cCA/edit#gid=346597447"",""ชัยภูมิ!J552"")"),0)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IFERROR(__xludf.DUMMYFUNCTION("IMPORTRANGE(""https://docs.google.com/spreadsheets/d/1XL5vhW3sbDhbH9Cz0tuDiY8C3ctxq1tqvaCgkFb8cCA/edit#gid=346597447"",""ชัยภูมิ!J553"")"),0)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IFERROR(__xludf.DUMMYFUNCTION("IMPORTRANGE(""https://docs.google.com/spreadsheets/d/1XL5vhW3sbDhbH9Cz0tuDiY8C3ctxq1tqvaCgkFb8cCA/edit#gid=346597447"",""ชัยภูมิ!J554"")"),0)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IFERROR(__xludf.DUMMYFUNCTION("IMPORTRANGE(""https://docs.google.com/spreadsheets/d/1XL5vhW3sbDhbH9Cz0tuDiY8C3ctxq1tqvaCgkFb8cCA/edit#gid=346597447"",""ชัยภูมิ!J555"")"),0)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IFERROR(__xludf.DUMMYFUNCTION("IMPORTRANGE(""https://docs.google.com/spreadsheets/d/1XL5vhW3sbDhbH9Cz0tuDiY8C3ctxq1tqvaCgkFb8cCA/edit#gid=346597447"",""ชัยภูมิ!J556"")"),0)</f>
        <v>0</v>
      </c>
      <c r="K661" s="587"/>
      <c r="L661" s="572">
        <f ca="1">IFERROR(__xludf.DUMMYFUNCTION("IMPORTRANGE(""https://docs.google.com/spreadsheets/d/1XL5vhW3sbDhbH9Cz0tuDiY8C3ctxq1tqvaCgkFb8cCA/edit#gid=346597447"",""ชัยภูมิ!L556"")"),0)</f>
        <v>0</v>
      </c>
      <c r="M661" s="571"/>
      <c r="N661" s="588">
        <f ca="1">IFERROR(__xludf.DUMMYFUNCTION("IMPORTRANGE(""https://docs.google.com/spreadsheets/d/1XL5vhW3sbDhbH9Cz0tuDiY8C3ctxq1tqvaCgkFb8cCA/edit#gid=346597447"",""ชัยภูมิ!M556"")"),0)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IFERROR(__xludf.DUMMYFUNCTION("IMPORTRANGE(""https://docs.google.com/spreadsheets/d/1XL5vhW3sbDhbH9Cz0tuDiY8C3ctxq1tqvaCgkFb8cCA/edit#gid=346597447"",""ชัยภูมิ!J557"")"),0)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IFERROR(__xludf.DUMMYFUNCTION("IMPORTRANGE(""https://docs.google.com/spreadsheets/d/1XL5vhW3sbDhbH9Cz0tuDiY8C3ctxq1tqvaCgkFb8cCA/edit#gid=346597447"",""ชัยภูมิ!I558"")"),0)</f>
        <v>0</v>
      </c>
      <c r="J663" s="586">
        <f ca="1">IFERROR(__xludf.DUMMYFUNCTION("IMPORTRANGE(""https://docs.google.com/spreadsheets/d/1XL5vhW3sbDhbH9Cz0tuDiY8C3ctxq1tqvaCgkFb8cCA/edit#gid=346597447"",""ชัยภูมิ!J558"")"),0)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IFERROR(__xludf.DUMMYFUNCTION("IMPORTRANGE(""https://docs.google.com/spreadsheets/d/1XL5vhW3sbDhbH9Cz0tuDiY8C3ctxq1tqvaCgkFb8cCA/edit#gid=346597447"",""ชัยภูมิ!I560"")"),0)</f>
        <v>0</v>
      </c>
      <c r="J665" s="586">
        <f ca="1">IFERROR(__xludf.DUMMYFUNCTION("IMPORTRANGE(""https://docs.google.com/spreadsheets/d/1XL5vhW3sbDhbH9Cz0tuDiY8C3ctxq1tqvaCgkFb8cCA/edit#gid=346597447"",""ชัยภูมิ!J560"")"),0)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IFERROR(__xludf.DUMMYFUNCTION("IMPORTRANGE(""https://docs.google.com/spreadsheets/d/1XL5vhW3sbDhbH9Cz0tuDiY8C3ctxq1tqvaCgkFb8cCA/edit#gid=346597447"",""ชัยภูมิ!L560"")"),0)</f>
        <v>0</v>
      </c>
      <c r="M665" s="571"/>
      <c r="N665" s="588">
        <f ca="1">IFERROR(__xludf.DUMMYFUNCTION("IMPORTRANGE(""https://docs.google.com/spreadsheets/d/1XL5vhW3sbDhbH9Cz0tuDiY8C3ctxq1tqvaCgkFb8cCA/edit#gid=346597447"",""ชัยภูมิ!M560"")"),0)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IFERROR(__xludf.DUMMYFUNCTION("IMPORTRANGE(""https://docs.google.com/spreadsheets/d/1XL5vhW3sbDhbH9Cz0tuDiY8C3ctxq1tqvaCgkFb8cCA/edit#gid=346597447"",""ชัยภูมิ!J561"")"),0)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IFERROR(__xludf.DUMMYFUNCTION("IMPORTRANGE(""https://docs.google.com/spreadsheets/d/1XL5vhW3sbDhbH9Cz0tuDiY8C3ctxq1tqvaCgkFb8cCA/edit#gid=346597447"",""ชัยภูมิ!J562"")"),0)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IFERROR(__xludf.DUMMYFUNCTION("IMPORTRANGE(""https://docs.google.com/spreadsheets/d/1XL5vhW3sbDhbH9Cz0tuDiY8C3ctxq1tqvaCgkFb8cCA/edit#gid=346597447"",""ชัยภูมิ!I563"")"),0)</f>
        <v>0</v>
      </c>
      <c r="J668" s="586">
        <f ca="1">IFERROR(__xludf.DUMMYFUNCTION("IMPORTRANGE(""https://docs.google.com/spreadsheets/d/1XL5vhW3sbDhbH9Cz0tuDiY8C3ctxq1tqvaCgkFb8cCA/edit#gid=346597447"",""ชัยภูมิ!J563"")"),0)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IFERROR(__xludf.DUMMYFUNCTION("IMPORTRANGE(""https://docs.google.com/spreadsheets/d/1XL5vhW3sbDhbH9Cz0tuDiY8C3ctxq1tqvaCgkFb8cCA/edit#gid=346597447"",""ชัยภูมิ!L563"")"),0)</f>
        <v>0</v>
      </c>
      <c r="M668" s="571"/>
      <c r="N668" s="588">
        <f ca="1">IFERROR(__xludf.DUMMYFUNCTION("IMPORTRANGE(""https://docs.google.com/spreadsheets/d/1XL5vhW3sbDhbH9Cz0tuDiY8C3ctxq1tqvaCgkFb8cCA/edit#gid=346597447"",""ชัยภูมิ!M563"")"),0)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IFERROR(__xludf.DUMMYFUNCTION("IMPORTRANGE(""https://docs.google.com/spreadsheets/d/1XL5vhW3sbDhbH9Cz0tuDiY8C3ctxq1tqvaCgkFb8cCA/edit#gid=346597447"",""ชัยภูมิ!J564"")"),0)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IFERROR(__xludf.DUMMYFUNCTION("IMPORTRANGE(""https://docs.google.com/spreadsheets/d/1XL5vhW3sbDhbH9Cz0tuDiY8C3ctxq1tqvaCgkFb8cCA/edit#gid=346597447"",""ชัยภูมิ!J565"")"),0)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IFERROR(__xludf.DUMMYFUNCTION("IMPORTRANGE(""https://docs.google.com/spreadsheets/d/1XL5vhW3sbDhbH9Cz0tuDiY8C3ctxq1tqvaCgkFb8cCA/edit#gid=346597447"",""ชัยภูมิ!I566"")"),0)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IFERROR(__xludf.DUMMYFUNCTION("IMPORTRANGE(""https://docs.google.com/spreadsheets/d/1XL5vhW3sbDhbH9Cz0tuDiY8C3ctxq1tqvaCgkFb8cCA/edit#gid=346597447"",""ชัยภูมิ!L566"")"),0)</f>
        <v>0</v>
      </c>
      <c r="M671" s="571"/>
      <c r="N671" s="588">
        <f ca="1">IFERROR(__xludf.DUMMYFUNCTION("IMPORTRANGE(""https://docs.google.com/spreadsheets/d/1XL5vhW3sbDhbH9Cz0tuDiY8C3ctxq1tqvaCgkFb8cCA/edit#gid=346597447"",""ชัยภูมิ!M566"")"),0)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IFERROR(__xludf.DUMMYFUNCTION("IMPORTRANGE(""https://docs.google.com/spreadsheets/d/1XL5vhW3sbDhbH9Cz0tuDiY8C3ctxq1tqvaCgkFb8cCA/edit#gid=346597447"",""ชัยภูมิ!J567"")"),0)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IFERROR(__xludf.DUMMYFUNCTION("IMPORTRANGE(""https://docs.google.com/spreadsheets/d/1XL5vhW3sbDhbH9Cz0tuDiY8C3ctxq1tqvaCgkFb8cCA/edit#gid=346597447"",""ชัยภูมิ!J568"")"),0)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IFERROR(__xludf.DUMMYFUNCTION("IMPORTRANGE(""https://docs.google.com/spreadsheets/d/1XL5vhW3sbDhbH9Cz0tuDiY8C3ctxq1tqvaCgkFb8cCA/edit#gid=346597447"",""ชัยภูมิ!J569"")"),0)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IFERROR(__xludf.DUMMYFUNCTION("IMPORTRANGE(""https://docs.google.com/spreadsheets/d/1XL5vhW3sbDhbH9Cz0tuDiY8C3ctxq1tqvaCgkFb8cCA/edit#gid=346597447"",""ชัยภูมิ!J570"")"),0)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IFERROR(__xludf.DUMMYFUNCTION("IMPORTRANGE(""https://docs.google.com/spreadsheets/d/1XL5vhW3sbDhbH9Cz0tuDiY8C3ctxq1tqvaCgkFb8cCA/edit#gid=346597447"",""ชัยภูมิ!J571"")"),0)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IFERROR(__xludf.DUMMYFUNCTION("IMPORTRANGE(""https://docs.google.com/spreadsheets/d/1XL5vhW3sbDhbH9Cz0tuDiY8C3ctxq1tqvaCgkFb8cCA/edit#gid=346597447"",""ชัยภูมิ!J572"")"),0)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6013754</v>
      </c>
      <c r="M8" s="23">
        <f t="shared" ca="1" si="0"/>
        <v>3986351</v>
      </c>
      <c r="N8" s="23">
        <f t="shared" ca="1" si="0"/>
        <v>4774016.2300000004</v>
      </c>
      <c r="O8" s="22">
        <f t="shared" ref="O8:O16" ca="1" si="1">IF(L8&gt;0,N8*100/L8,0)</f>
        <v>79.38496037583181</v>
      </c>
      <c r="P8" s="22">
        <f t="shared" ref="P8:P16" ca="1" si="2">IF(M8&gt;0,N8*100/M8,0)</f>
        <v>119.75905358058036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6013754</v>
      </c>
      <c r="M10" s="30">
        <f t="shared" ca="1" si="4"/>
        <v>3986351</v>
      </c>
      <c r="N10" s="30">
        <f t="shared" ca="1" si="4"/>
        <v>4774016.2300000004</v>
      </c>
      <c r="O10" s="29">
        <f t="shared" ca="1" si="1"/>
        <v>79.38496037583181</v>
      </c>
      <c r="P10" s="29">
        <f t="shared" ca="1" si="2"/>
        <v>119.75905358058036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5012454</v>
      </c>
      <c r="M12" s="38">
        <f t="shared" ca="1" si="6"/>
        <v>2985051</v>
      </c>
      <c r="N12" s="38">
        <f t="shared" ca="1" si="6"/>
        <v>3782716.2300000004</v>
      </c>
      <c r="O12" s="38">
        <f t="shared" ca="1" si="1"/>
        <v>75.466353007927864</v>
      </c>
      <c r="P12" s="38">
        <f t="shared" ca="1" si="2"/>
        <v>126.72199670960397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3259554</v>
      </c>
      <c r="M14" s="38">
        <f t="shared" si="8"/>
        <v>0</v>
      </c>
      <c r="N14" s="38">
        <f t="shared" ca="1" si="8"/>
        <v>1307769.3900000001</v>
      </c>
      <c r="O14" s="38">
        <f t="shared" ca="1" si="1"/>
        <v>40.121114422402577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1001300</v>
      </c>
      <c r="M16" s="38">
        <f t="shared" ca="1" si="10"/>
        <v>1001300</v>
      </c>
      <c r="N16" s="38">
        <f t="shared" ca="1" si="10"/>
        <v>991300</v>
      </c>
      <c r="O16" s="49">
        <f t="shared" ca="1" si="1"/>
        <v>99.001298312194152</v>
      </c>
      <c r="P16" s="49">
        <f t="shared" ca="1" si="2"/>
        <v>99.001298312194152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3977395</v>
      </c>
      <c r="M18" s="23">
        <f t="shared" ca="1" si="11"/>
        <v>3986351</v>
      </c>
      <c r="N18" s="23">
        <f t="shared" ca="1" si="11"/>
        <v>3466246.8400000003</v>
      </c>
      <c r="O18" s="22">
        <f t="shared" ref="O18:O20" ca="1" si="12">IF(L18&gt;0,N18*100/L18,0)</f>
        <v>87.148669920890441</v>
      </c>
      <c r="P18" s="22">
        <f t="shared" ref="P18:P26" ca="1" si="13">IF(M18&gt;0,N18*100/M18,0)</f>
        <v>86.952875950963687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3977395</v>
      </c>
      <c r="M20" s="30">
        <f t="shared" ca="1" si="15"/>
        <v>3986351</v>
      </c>
      <c r="N20" s="30">
        <f t="shared" ca="1" si="15"/>
        <v>3466246.8400000003</v>
      </c>
      <c r="O20" s="29">
        <f t="shared" ca="1" si="12"/>
        <v>87.148669920890441</v>
      </c>
      <c r="P20" s="29">
        <f t="shared" ca="1" si="13"/>
        <v>86.952875950963687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2976095</v>
      </c>
      <c r="M22" s="41">
        <f t="shared" ca="1" si="18"/>
        <v>2985051</v>
      </c>
      <c r="N22" s="38">
        <f t="shared" ca="1" si="18"/>
        <v>2474946.8400000003</v>
      </c>
      <c r="O22" s="38">
        <f t="shared" ca="1" si="17"/>
        <v>83.160881625082538</v>
      </c>
      <c r="P22" s="38">
        <f t="shared" ca="1" si="13"/>
        <v>82.911375383536168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1223195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1001300</v>
      </c>
      <c r="M26" s="49">
        <f t="shared" ca="1" si="22"/>
        <v>1001300</v>
      </c>
      <c r="N26" s="49">
        <f t="shared" ca="1" si="22"/>
        <v>991300</v>
      </c>
      <c r="O26" s="49">
        <f t="shared" ca="1" si="17"/>
        <v>99.001298312194152</v>
      </c>
      <c r="P26" s="49">
        <f t="shared" ca="1" si="13"/>
        <v>99.001298312194152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2036359</v>
      </c>
      <c r="M28" s="23">
        <f t="shared" si="23"/>
        <v>0</v>
      </c>
      <c r="N28" s="23">
        <f t="shared" ca="1" si="23"/>
        <v>1307769.3900000001</v>
      </c>
      <c r="O28" s="22">
        <f t="shared" ref="O28:O30" ca="1" si="24">IF(L28&gt;0,N28*100/L28,0)</f>
        <v>64.220964476303052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2036359</v>
      </c>
      <c r="M30" s="30">
        <f t="shared" si="27"/>
        <v>0</v>
      </c>
      <c r="N30" s="30">
        <f t="shared" ca="1" si="27"/>
        <v>1307769.3900000001</v>
      </c>
      <c r="O30" s="29">
        <f t="shared" ca="1" si="24"/>
        <v>64.220964476303052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2036359</v>
      </c>
      <c r="M32" s="38">
        <f t="shared" si="30"/>
        <v>0</v>
      </c>
      <c r="N32" s="38">
        <f t="shared" ca="1" si="30"/>
        <v>1307769.3900000001</v>
      </c>
      <c r="O32" s="38">
        <f t="shared" ca="1" si="29"/>
        <v>64.220964476303052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2036359</v>
      </c>
      <c r="M34" s="38">
        <f t="shared" si="32"/>
        <v>0</v>
      </c>
      <c r="N34" s="38">
        <f t="shared" ca="1" si="32"/>
        <v>1307769.3900000001</v>
      </c>
      <c r="O34" s="38">
        <f t="shared" ca="1" si="29"/>
        <v>64.220964476303052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3977395</v>
      </c>
      <c r="M37" s="54">
        <f t="shared" ca="1" si="33"/>
        <v>3986351</v>
      </c>
      <c r="N37" s="54">
        <f t="shared" ca="1" si="33"/>
        <v>3466246.84</v>
      </c>
      <c r="O37" s="55">
        <f t="shared" ca="1" si="29"/>
        <v>87.148669920890427</v>
      </c>
      <c r="P37" s="55">
        <f t="shared" ca="1" si="25"/>
        <v>86.952875950963673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1441100</v>
      </c>
      <c r="M41" s="78">
        <f t="shared" ca="1" si="34"/>
        <v>1446200</v>
      </c>
      <c r="N41" s="78">
        <f t="shared" ca="1" si="34"/>
        <v>1367252.2</v>
      </c>
      <c r="O41" s="77">
        <f t="shared" ref="O41:O43" ca="1" si="35">IF(L41&gt;0,N41*100/L41,0)</f>
        <v>94.875595031573098</v>
      </c>
      <c r="P41" s="77">
        <f t="shared" ref="P41:P43" ca="1" si="36">IF(M41&gt;0,N41*100/M41,0)</f>
        <v>94.541017839856181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1441100</v>
      </c>
      <c r="M43" s="78">
        <f t="shared" ca="1" si="38"/>
        <v>1446200</v>
      </c>
      <c r="N43" s="78">
        <f t="shared" ca="1" si="38"/>
        <v>1367252.2</v>
      </c>
      <c r="O43" s="77">
        <f t="shared" ca="1" si="35"/>
        <v>94.875595031573098</v>
      </c>
      <c r="P43" s="77">
        <f t="shared" ca="1" si="36"/>
        <v>94.541017839856181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IFERROR(__xludf.DUMMYFUNCTION("IMPORTRANGE(""https://docs.google.com/spreadsheets/d/1Yj_ptqi66GCucihVvJfMjLAmec39IyEx_6qawtMGysU/edit?usp=sharing"",""สบก!Q41"")"),636200)</f>
        <v>636200</v>
      </c>
      <c r="N45" s="49">
        <f ca="1">IFERROR(__xludf.DUMMYFUNCTION("IMPORTRANGE(""https://docs.google.com/spreadsheets/d/1Yj_ptqi66GCucihVvJfMjLAmec39IyEx_6qawtMGysU/edit?usp=sharing"",""สบก!R41"")"),567252.2)</f>
        <v>567252.19999999995</v>
      </c>
      <c r="O45" s="38">
        <f ca="1">IF(L45&gt;0,N45*100/L45,0)</f>
        <v>89.883093012200902</v>
      </c>
      <c r="P45" s="38">
        <f ca="1">IF(M45&gt;0,N45*100/M45,0)</f>
        <v>89.162558943728371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IFERROR(__xludf.DUMMYFUNCTION("IMPORTRANGE(""https://docs.google.com/spreadsheets/d/1Yj_ptqi66GCucihVvJfMjLAmec39IyEx_6qawtMGysU/edit?usp=sharing"",""สบก!O41"")"),810000)</f>
        <v>810000</v>
      </c>
      <c r="M49" s="49">
        <f ca="1">L49</f>
        <v>810000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98.76543209876543</v>
      </c>
      <c r="P49" s="49">
        <f ca="1">IF(M49&gt;0,N49*100/M49,0)</f>
        <v>98.76543209876543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426826</v>
      </c>
      <c r="N53" s="121">
        <f t="shared" ca="1" si="39"/>
        <v>415838</v>
      </c>
      <c r="O53" s="120">
        <f t="shared" ref="O53:O55" ca="1" si="40">IF(L53&gt;0,N53*100/L53,0)</f>
        <v>100.7359496124031</v>
      </c>
      <c r="P53" s="120">
        <f t="shared" ref="P53:P55" ca="1" si="41">IF(M53&gt;0,N53*100/M53,0)</f>
        <v>97.425648859254125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426826</v>
      </c>
      <c r="N55" s="121">
        <f t="shared" ca="1" si="43"/>
        <v>415838</v>
      </c>
      <c r="O55" s="120">
        <f t="shared" ca="1" si="40"/>
        <v>100.7359496124031</v>
      </c>
      <c r="P55" s="120">
        <f t="shared" ca="1" si="41"/>
        <v>97.425648859254125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IFERROR(__xludf.DUMMYFUNCTION("IMPORTRANGE(""https://docs.google.com/spreadsheets/d/1Yj_ptqi66GCucihVvJfMjLAmec39IyEx_6qawtMGysU/edit?usp=sharing"",""สบก!Z41"")"),426826)</f>
        <v>426826</v>
      </c>
      <c r="N57" s="49">
        <f ca="1">IFERROR(__xludf.DUMMYFUNCTION("IMPORTRANGE(""https://docs.google.com/spreadsheets/d/1Yj_ptqi66GCucihVvJfMjLAmec39IyEx_6qawtMGysU/edit?usp=sharing"",""สบก!AA41"")"),415838)</f>
        <v>415838</v>
      </c>
      <c r="O57" s="38">
        <f ca="1">IF(L57&gt;0,N57*100/L57,0)</f>
        <v>100.7359496124031</v>
      </c>
      <c r="P57" s="38">
        <f ca="1">IF(M57&gt;0,N57*100/M57,0)</f>
        <v>97.425648859254125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680820</v>
      </c>
      <c r="N66" s="152">
        <f t="shared" ca="1" si="45"/>
        <v>560656.11</v>
      </c>
      <c r="O66" s="151">
        <f t="shared" ref="O66:O68" ca="1" si="46">IF(L66&gt;0,N66*100/L66,0)</f>
        <v>83.158722930881041</v>
      </c>
      <c r="P66" s="151">
        <f t="shared" ref="P66:P68" ca="1" si="47">IF(M66&gt;0,N66*100/M66,0)</f>
        <v>82.350123380629242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680820</v>
      </c>
      <c r="N68" s="157">
        <f t="shared" ca="1" si="49"/>
        <v>560656.11</v>
      </c>
      <c r="O68" s="156">
        <f t="shared" ca="1" si="46"/>
        <v>83.158722930881041</v>
      </c>
      <c r="P68" s="156">
        <f t="shared" ca="1" si="47"/>
        <v>82.350123380629242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674200</v>
      </c>
      <c r="M70" s="168">
        <f ca="1">IFERROR(__xludf.DUMMYFUNCTION("IMPORTRANGE(""https://docs.google.com/spreadsheets/d/1Yj_ptqi66GCucihVvJfMjLAmec39IyEx_6qawtMGysU/edit?usp=sharing"",""สบก!AI41"")"),680820)</f>
        <v>680820</v>
      </c>
      <c r="N70" s="169">
        <f ca="1">IFERROR(__xludf.DUMMYFUNCTION("IMPORTRANGE(""https://docs.google.com/spreadsheets/d/1Yj_ptqi66GCucihVvJfMjLAmec39IyEx_6qawtMGysU/edit?usp=sharing"",""สบก!AJ41"")"),560656.11)</f>
        <v>560656.11</v>
      </c>
      <c r="O70" s="169">
        <f ca="1">IF(L70&gt;0,N70*100/L70,0)</f>
        <v>83.158722930881041</v>
      </c>
      <c r="P70" s="169">
        <f ca="1">IF(M70&gt;0,N70*100/M70,0)</f>
        <v>82.350123380629242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IFERROR(__xludf.DUMMYFUNCTION("IMPORTRANGE(""https://docs.google.com/spreadsheets/d/1Yj_ptqi66GCucihVvJfMjLAmec39IyEx_6qawtMGysU/edit?usp=sharing"",""สบก!AF41"")"),486000)</f>
        <v>486000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IFERROR(__xludf.DUMMYFUNCTION("IMPORTRANGE(""https://docs.google.com/spreadsheets/d/1XL5vhW3sbDhbH9Cz0tuDiY8C3ctxq1tqvaCgkFb8cCA/edit?usp=sharing"",""นครพนม!I28"")"),1)</f>
        <v>1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183457.55</v>
      </c>
      <c r="O94" s="151">
        <f t="shared" ref="O94:O96" ca="1" si="53">IF(L94&gt;0,N94*100/L94,0)</f>
        <v>85.687786081270431</v>
      </c>
      <c r="P94" s="151">
        <f t="shared" ref="P94:P96" ca="1" si="54">IF(M94&gt;0,N94*100/M94,0)</f>
        <v>85.687786081270431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183457.55</v>
      </c>
      <c r="O96" s="156">
        <f t="shared" ca="1" si="53"/>
        <v>85.687786081270431</v>
      </c>
      <c r="P96" s="156">
        <f t="shared" ca="1" si="54"/>
        <v>85.687786081270431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IFERROR(__xludf.DUMMYFUNCTION("IMPORTRANGE(""https://docs.google.com/spreadsheets/d/1Yj_ptqi66GCucihVvJfMjLAmec39IyEx_6qawtMGysU/edit?usp=sharing"",""สบก!AR41"")"),122100)</f>
        <v>122100</v>
      </c>
      <c r="N98" s="169">
        <f ca="1">IFERROR(__xludf.DUMMYFUNCTION("IMPORTRANGE(""https://docs.google.com/spreadsheets/d/1Yj_ptqi66GCucihVvJfMjLAmec39IyEx_6qawtMGysU/edit?usp=sharing"",""สบก!AS41"")"),91457.55)</f>
        <v>91457.55</v>
      </c>
      <c r="O98" s="169">
        <f ca="1">IF(L98&gt;0,N98*100/L98,0)</f>
        <v>74.903808353808358</v>
      </c>
      <c r="P98" s="169">
        <f ca="1">IF(M98&gt;0,N98*100/M98,0)</f>
        <v>74.903808353808358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IFERROR(__xludf.DUMMYFUNCTION("IMPORTRANGE(""https://docs.google.com/spreadsheets/d/1Yj_ptqi66GCucihVvJfMjLAmec39IyEx_6qawtMGysU/edit?usp=sharing"",""สบก!AP41"")"),92000)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IFERROR(__xludf.DUMMYFUNCTION("IMPORTRANGE(""https://docs.google.com/spreadsheets/d/1Yj_ptqi66GCucihVvJfMjLAmec39IyEx_6qawtMGysU/edit?usp=sharing"",""สบก!BA41"")"),0)</f>
        <v>0</v>
      </c>
      <c r="N122" s="169">
        <f ca="1">IFERROR(__xludf.DUMMYFUNCTION("IMPORTRANGE(""https://docs.google.com/spreadsheets/d/1Yj_ptqi66GCucihVvJfMjLAmec39IyEx_6qawtMGysU/edit?usp=sharing"",""สบก!BB41"")"),0)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72000</v>
      </c>
      <c r="M140" s="152">
        <f t="shared" ca="1" si="64"/>
        <v>80000</v>
      </c>
      <c r="N140" s="152">
        <f t="shared" ca="1" si="64"/>
        <v>62859.8</v>
      </c>
      <c r="O140" s="151">
        <f t="shared" ref="O140:O142" ca="1" si="65">IF(L140&gt;0,N140*100/L140,0)</f>
        <v>87.305277777777775</v>
      </c>
      <c r="P140" s="151">
        <f t="shared" ref="P140:P142" ca="1" si="66">IF(M140&gt;0,N140*100/M140,0)</f>
        <v>78.574749999999995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72000</v>
      </c>
      <c r="M142" s="157">
        <f t="shared" ca="1" si="68"/>
        <v>80000</v>
      </c>
      <c r="N142" s="157">
        <f t="shared" ca="1" si="68"/>
        <v>62859.8</v>
      </c>
      <c r="O142" s="156">
        <f t="shared" ca="1" si="65"/>
        <v>87.305277777777775</v>
      </c>
      <c r="P142" s="156">
        <f t="shared" ca="1" si="66"/>
        <v>78.574749999999995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72000</v>
      </c>
      <c r="M144" s="168">
        <f ca="1">IFERROR(__xludf.DUMMYFUNCTION("IMPORTRANGE(""https://docs.google.com/spreadsheets/d/1Yj_ptqi66GCucihVvJfMjLAmec39IyEx_6qawtMGysU/edit?usp=sharing"",""สบก!BJ41"")"),80000)</f>
        <v>80000</v>
      </c>
      <c r="N144" s="169">
        <f ca="1">IFERROR(__xludf.DUMMYFUNCTION("IMPORTRANGE(""https://docs.google.com/spreadsheets/d/1Yj_ptqi66GCucihVvJfMjLAmec39IyEx_6qawtMGysU/edit?usp=sharing"",""สบก!BK41"")"),62859.8)</f>
        <v>62859.8</v>
      </c>
      <c r="O144" s="169">
        <f ca="1">IF(L144&gt;0,N144*100/L144,0)</f>
        <v>87.305277777777775</v>
      </c>
      <c r="P144" s="169">
        <f ca="1">IF(M144&gt;0,N144*100/M144,0)</f>
        <v>78.574749999999995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IFERROR(__xludf.DUMMYFUNCTION("IMPORTRANGE(""https://docs.google.com/spreadsheets/d/1Yj_ptqi66GCucihVvJfMjLAmec39IyEx_6qawtMGysU/edit?usp=sharing"",""สบก!BG41"")"),72000)</f>
        <v>72000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IFERROR(__xludf.DUMMYFUNCTION("IMPORTRANGE(""https://docs.google.com/spreadsheets/d/1XL5vhW3sbDhbH9Cz0tuDiY8C3ctxq1tqvaCgkFb8cCA/edit?usp=sharing"",""นครพนม!I89"")"),3)</f>
        <v>3</v>
      </c>
      <c r="J164" s="285">
        <f ca="1">IFERROR(__xludf.DUMMYFUNCTION("IMPORTRANGE(""https://docs.google.com/spreadsheets/d/1XL5vhW3sbDhbH9Cz0tuDiY8C3ctxq1tqvaCgkFb8cCA/edit?usp=sharing"",""นครพนม!J89"")"),3)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IFERROR(__xludf.DUMMYFUNCTION("IMPORTRANGE(""https://docs.google.com/spreadsheets/d/1XL5vhW3sbDhbH9Cz0tuDiY8C3ctxq1tqvaCgkFb8cCA/edit?usp=sharing"",""นครพนม!J100"")"),0)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IFERROR(__xludf.DUMMYFUNCTION("IMPORTRANGE(""https://docs.google.com/spreadsheets/d/1XL5vhW3sbDhbH9Cz0tuDiY8C3ctxq1tqvaCgkFb8cCA/edit?usp=sharing"",""นครพนม!I101"")"),1)</f>
        <v>1</v>
      </c>
      <c r="J176" s="285">
        <f ca="1">IFERROR(__xludf.DUMMYFUNCTION("IMPORTRANGE(""https://docs.google.com/spreadsheets/d/1XL5vhW3sbDhbH9Cz0tuDiY8C3ctxq1tqvaCgkFb8cCA/edit?usp=sharing"",""นครพนม!J101"")"),1)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IFERROR(__xludf.DUMMYFUNCTION("IMPORTRANGE(""https://docs.google.com/spreadsheets/d/1XL5vhW3sbDhbH9Cz0tuDiY8C3ctxq1tqvaCgkFb8cCA/edit?usp=sharing"",""นครพนม!J113"")"),0)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IFERROR(__xludf.DUMMYFUNCTION("IMPORTRANGE(""https://docs.google.com/spreadsheets/d/1XL5vhW3sbDhbH9Cz0tuDiY8C3ctxq1tqvaCgkFb8cCA/edit?usp=sharing"",""นครพนม!I114"")"),10000)</f>
        <v>10000</v>
      </c>
      <c r="J189" s="285">
        <f ca="1">IFERROR(__xludf.DUMMYFUNCTION("IMPORTRANGE(""https://docs.google.com/spreadsheets/d/1XL5vhW3sbDhbH9Cz0tuDiY8C3ctxq1tqvaCgkFb8cCA/edit?usp=sharing"",""นครพนม!J114"")"),10000)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IFERROR(__xludf.DUMMYFUNCTION("IMPORTRANGE(""https://docs.google.com/spreadsheets/d/1XL5vhW3sbDhbH9Cz0tuDiY8C3ctxq1tqvaCgkFb8cCA/edit?usp=sharing"",""นครพนม!J128"")"),0)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IFERROR(__xludf.DUMMYFUNCTION("IMPORTRANGE(""https://docs.google.com/spreadsheets/d/1XL5vhW3sbDhbH9Cz0tuDiY8C3ctxq1tqvaCgkFb8cCA/edit?usp=sharing"",""นครพนม!I129"")"),0)</f>
        <v>0</v>
      </c>
      <c r="J204" s="285">
        <f ca="1">IFERROR(__xludf.DUMMYFUNCTION("IMPORTRANGE(""https://docs.google.com/spreadsheets/d/1XL5vhW3sbDhbH9Cz0tuDiY8C3ctxq1tqvaCgkFb8cCA/edit?usp=sharing"",""นครพนม!J129"")"),0)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IFERROR(__xludf.DUMMYFUNCTION("IMPORTRANGE(""https://docs.google.com/spreadsheets/d/1XL5vhW3sbDhbH9Cz0tuDiY8C3ctxq1tqvaCgkFb8cCA/edit?usp=sharing"",""นครพนม!I169"")"),25)</f>
        <v>25</v>
      </c>
      <c r="J249" s="317">
        <f ca="1">IFERROR(__xludf.DUMMYFUNCTION("IMPORTRANGE(""https://docs.google.com/spreadsheets/d/1XL5vhW3sbDhbH9Cz0tuDiY8C3ctxq1tqvaCgkFb8cCA/edit?usp=sharing"",""นครพนม!J169"")"),25)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221000</v>
      </c>
      <c r="N250" s="152">
        <f t="shared" ca="1" si="77"/>
        <v>138105</v>
      </c>
      <c r="O250" s="151">
        <f t="shared" ref="O250:O252" ca="1" si="78">IF(L250&gt;0,N250*100/L250,0)</f>
        <v>62.490950226244344</v>
      </c>
      <c r="P250" s="151">
        <f t="shared" ref="P250:P252" ca="1" si="79">IF(M250&gt;0,N250*100/M250,0)</f>
        <v>62.490950226244344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221000</v>
      </c>
      <c r="N252" s="157">
        <f t="shared" ca="1" si="81"/>
        <v>138105</v>
      </c>
      <c r="O252" s="156">
        <f t="shared" ca="1" si="78"/>
        <v>62.490950226244344</v>
      </c>
      <c r="P252" s="156">
        <f t="shared" ca="1" si="79"/>
        <v>62.490950226244344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IFERROR(__xludf.DUMMYFUNCTION("IMPORTRANGE(""https://docs.google.com/spreadsheets/d/1Yj_ptqi66GCucihVvJfMjLAmec39IyEx_6qawtMGysU/edit?usp=sharing"",""สบก!CB41"")"),221000)</f>
        <v>221000</v>
      </c>
      <c r="N254" s="169">
        <f ca="1">IFERROR(__xludf.DUMMYFUNCTION("IMPORTRANGE(""https://docs.google.com/spreadsheets/d/1Yj_ptqi66GCucihVvJfMjLAmec39IyEx_6qawtMGysU/edit?usp=sharing"",""สบก!CC41"")"),138105)</f>
        <v>138105</v>
      </c>
      <c r="O254" s="169">
        <f ca="1">IF(L254&gt;0,N254*100/L254,0)</f>
        <v>62.490950226244344</v>
      </c>
      <c r="P254" s="169">
        <f ca="1">IF(M254&gt;0,N254*100/M254,0)</f>
        <v>62.490950226244344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IFERROR(__xludf.DUMMYFUNCTION("IMPORTRANGE(""https://docs.google.com/spreadsheets/d/1XL5vhW3sbDhbH9Cz0tuDiY8C3ctxq1tqvaCgkFb8cCA/edit?usp=sharing"",""นครพนม!J184"")"),0)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IFERROR(__xludf.DUMMYFUNCTION("IMPORTRANGE(""https://docs.google.com/spreadsheets/d/1XL5vhW3sbDhbH9Cz0tuDiY8C3ctxq1tqvaCgkFb8cCA/edit?usp=sharing"",""นครพนม!I185"")"),0)</f>
        <v>0</v>
      </c>
      <c r="J270" s="317">
        <f ca="1">IFERROR(__xludf.DUMMYFUNCTION("IMPORTRANGE(""https://docs.google.com/spreadsheets/d/1XL5vhW3sbDhbH9Cz0tuDiY8C3ctxq1tqvaCgkFb8cCA/edit?usp=sharing"",""นครพนม!J185"")"),0)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IFERROR(__xludf.DUMMYFUNCTION("IMPORTRANGE(""https://docs.google.com/spreadsheets/d/1XL5vhW3sbDhbH9Cz0tuDiY8C3ctxq1tqvaCgkFb8cCA/edit?usp=sharing"",""นครพนม!I199"")"),0)</f>
        <v>0</v>
      </c>
      <c r="J289" s="317">
        <f ca="1">IFERROR(__xludf.DUMMYFUNCTION("IMPORTRANGE(""https://docs.google.com/spreadsheets/d/1XL5vhW3sbDhbH9Cz0tuDiY8C3ctxq1tqvaCgkFb8cCA/edit?usp=sharing"",""นครพนม!J199"")"),0)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IFERROR(__xludf.DUMMYFUNCTION("IMPORTRANGE(""https://docs.google.com/spreadsheets/d/1XL5vhW3sbDhbH9Cz0tuDiY8C3ctxq1tqvaCgkFb8cCA/edit?usp=sharing"",""นครพนม!I214"")"),0)</f>
        <v>0</v>
      </c>
      <c r="J309" s="334">
        <f ca="1">IFERROR(__xludf.DUMMYFUNCTION("IMPORTRANGE(""https://docs.google.com/spreadsheets/d/1XL5vhW3sbDhbH9Cz0tuDiY8C3ctxq1tqvaCgkFb8cCA/edit?usp=sharing"",""นครพนม!J214"")"),0)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IFERROR(__xludf.DUMMYFUNCTION("IMPORTRANGE(""https://docs.google.com/spreadsheets/d/1XL5vhW3sbDhbH9Cz0tuDiY8C3ctxq1tqvaCgkFb8cCA/edit?usp=sharing"",""นครพนม!I228"")"),490)</f>
        <v>490</v>
      </c>
      <c r="J328" s="340">
        <f ca="1">IFERROR(__xludf.DUMMYFUNCTION("IMPORTRANGE(""https://docs.google.com/spreadsheets/d/1XL5vhW3sbDhbH9Cz0tuDiY8C3ctxq1tqvaCgkFb8cCA/edit?usp=sharing"",""นครพนม!J228"")"),140)</f>
        <v>140</v>
      </c>
      <c r="K328" s="318">
        <f ca="1">IF(I328&gt;0,J328*100/I328,0)</f>
        <v>28.571428571428573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921070</v>
      </c>
      <c r="M329" s="152">
        <f t="shared" ca="1" si="98"/>
        <v>896280</v>
      </c>
      <c r="N329" s="152">
        <f t="shared" ca="1" si="98"/>
        <v>716953.18</v>
      </c>
      <c r="O329" s="151">
        <f t="shared" ref="O329:O331" ca="1" si="99">IF(L329&gt;0,N329*100/L329,0)</f>
        <v>77.83916314720922</v>
      </c>
      <c r="P329" s="151">
        <f t="shared" ref="P329:P331" ca="1" si="100">IF(M329&gt;0,N329*100/M329,0)</f>
        <v>79.992098451376805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921070</v>
      </c>
      <c r="M331" s="157">
        <f t="shared" ca="1" si="102"/>
        <v>896280</v>
      </c>
      <c r="N331" s="157">
        <f t="shared" ca="1" si="102"/>
        <v>716953.18</v>
      </c>
      <c r="O331" s="156">
        <f t="shared" ca="1" si="99"/>
        <v>77.83916314720922</v>
      </c>
      <c r="P331" s="156">
        <f t="shared" ca="1" si="100"/>
        <v>79.992098451376805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821770</v>
      </c>
      <c r="M333" s="168">
        <f ca="1">IFERROR(__xludf.DUMMYFUNCTION("IMPORTRANGE(""https://docs.google.com/spreadsheets/d/1Yj_ptqi66GCucihVvJfMjLAmec39IyEx_6qawtMGysU/edit?usp=sharing"",""สบก!DL41"")"),796980)</f>
        <v>796980</v>
      </c>
      <c r="N333" s="169">
        <f ca="1">IFERROR(__xludf.DUMMYFUNCTION("IMPORTRANGE(""https://docs.google.com/spreadsheets/d/1Yj_ptqi66GCucihVvJfMjLAmec39IyEx_6qawtMGysU/edit?usp=sharing"",""สบก!DM41"")"),617653.18)</f>
        <v>617653.18000000005</v>
      </c>
      <c r="O333" s="169">
        <f ca="1">IF(L333&gt;0,N333*100/L333,0)</f>
        <v>75.161320077393924</v>
      </c>
      <c r="P333" s="169">
        <f ca="1">IF(M333&gt;0,N333*100/M333,0)</f>
        <v>77.499207006449353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IFERROR(__xludf.DUMMYFUNCTION("IMPORTRANGE(""https://docs.google.com/spreadsheets/d/1Yj_ptqi66GCucihVvJfMjLAmec39IyEx_6qawtMGysU/edit?usp=sharing"",""สบก!DI41"")"),432970)</f>
        <v>432970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IFERROR(__xludf.DUMMYFUNCTION("IMPORTRANGE(""https://docs.google.com/spreadsheets/d/1XL5vhW3sbDhbH9Cz0tuDiY8C3ctxq1tqvaCgkFb8cCA/edit?usp=sharing"",""นครพนม!J234"")"),162)</f>
        <v>162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IFERROR(__xludf.DUMMYFUNCTION("IMPORTRANGE(""https://docs.google.com/spreadsheets/d/1XL5vhW3sbDhbH9Cz0tuDiY8C3ctxq1tqvaCgkFb8cCA/edit?usp=sharing"",""นครพนม!J235"")"),1555.16999999999)</f>
        <v>1555.1699999999901</v>
      </c>
      <c r="K340" s="343">
        <f t="shared" ca="1" si="103"/>
        <v>66.460256410255994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IFERROR(__xludf.DUMMYFUNCTION("IMPORTRANGE(""https://docs.google.com/spreadsheets/d/1XL5vhW3sbDhbH9Cz0tuDiY8C3ctxq1tqvaCgkFb8cCA/edit?usp=sharing"",""นครพนม!J236"")"),232)</f>
        <v>232</v>
      </c>
      <c r="K341" s="343">
        <f t="shared" ca="1" si="103"/>
        <v>47.346938775510203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IFERROR(__xludf.DUMMYFUNCTION("IMPORTRANGE(""https://docs.google.com/spreadsheets/d/1XL5vhW3sbDhbH9Cz0tuDiY8C3ctxq1tqvaCgkFb8cCA/edit?usp=sharing"",""นครพนม!J237"")"),2213.57)</f>
        <v>2213.5700000000002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IFERROR(__xludf.DUMMYFUNCTION("IMPORTRANGE(""https://docs.google.com/spreadsheets/d/1XL5vhW3sbDhbH9Cz0tuDiY8C3ctxq1tqvaCgkFb8cCA/edit?usp=sharing"",""นครพนม!J240"")"),140)</f>
        <v>140</v>
      </c>
      <c r="K345" s="343">
        <f t="shared" ca="1" si="103"/>
        <v>28.571428571428573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IFERROR(__xludf.DUMMYFUNCTION("IMPORTRANGE(""https://docs.google.com/spreadsheets/d/1XL5vhW3sbDhbH9Cz0tuDiY8C3ctxq1tqvaCgkFb8cCA/edit?usp=sharing"",""นครพนม!J241"")"),1300.3)</f>
        <v>1300.3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IFERROR(__xludf.DUMMYFUNCTION("IMPORTRANGE(""https://docs.google.com/spreadsheets/d/1XL5vhW3sbDhbH9Cz0tuDiY8C3ctxq1tqvaCgkFb8cCA/edit?usp=sharing"",""นครพนม!L242"")"),2036359)</f>
        <v>2036359</v>
      </c>
      <c r="M347" s="358"/>
      <c r="N347" s="358">
        <f ca="1">IFERROR(__xludf.DUMMYFUNCTION("IMPORTRANGE(""https://docs.google.com/spreadsheets/d/1XL5vhW3sbDhbH9Cz0tuDiY8C3ctxq1tqvaCgkFb8cCA/edit?usp=sharing"",""นครพนม!M242"")"),1307769.39)</f>
        <v>1307769.3899999999</v>
      </c>
      <c r="O347" s="358">
        <f ca="1">+IF(L347&gt;0,N347*100/L347,0)</f>
        <v>64.220964476303038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IFERROR(__xludf.DUMMYFUNCTION("IMPORTRANGE(""https://docs.google.com/spreadsheets/d/1XL5vhW3sbDhbH9Cz0tuDiY8C3ctxq1tqvaCgkFb8cCA/edit?usp=sharing"",""นครพนม!M244"")"),239613)</f>
        <v>239613</v>
      </c>
      <c r="O349" s="373">
        <f ca="1">+IF(L349&gt;0,N349*100/L349,0)</f>
        <v>79.82842484008529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IFERROR(__xludf.DUMMYFUNCTION("IMPORTRANGE(""https://docs.google.com/spreadsheets/d/1XL5vhW3sbDhbH9Cz0tuDiY8C3ctxq1tqvaCgkFb8cCA/edit?usp=sharing"",""นครพนม!M247"")"),239613)</f>
        <v>239613</v>
      </c>
      <c r="O352" s="165">
        <f t="shared" ca="1" si="105"/>
        <v>79.82842484008529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IFERROR(__xludf.DUMMYFUNCTION("IMPORTRANGE(""https://docs.google.com/spreadsheets/d/1XL5vhW3sbDhbH9Cz0tuDiY8C3ctxq1tqvaCgkFb8cCA/edit?usp=sharing"",""นครพนม!M249"")"),239613)</f>
        <v>239613</v>
      </c>
      <c r="O354" s="169">
        <f t="shared" ca="1" si="105"/>
        <v>79.82842484008529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IFERROR(__xludf.DUMMYFUNCTION("IMPORTRANGE(""https://docs.google.com/spreadsheets/d/1XL5vhW3sbDhbH9Cz0tuDiY8C3ctxq1tqvaCgkFb8cCA/edit?usp=sharing"",""นครพนม!M250"")"),45740)</f>
        <v>45740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IFERROR(__xludf.DUMMYFUNCTION("IMPORTRANGE(""https://docs.google.com/spreadsheets/d/1XL5vhW3sbDhbH9Cz0tuDiY8C3ctxq1tqvaCgkFb8cCA/edit?usp=sharing"",""นครพนม!M251"")"),72000)</f>
        <v>72000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IFERROR(__xludf.DUMMYFUNCTION("IMPORTRANGE(""https://docs.google.com/spreadsheets/d/1XL5vhW3sbDhbH9Cz0tuDiY8C3ctxq1tqvaCgkFb8cCA/edit?usp=sharing"",""นครพนม!M252"")"),107871)</f>
        <v>107871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IFERROR(__xludf.DUMMYFUNCTION("IMPORTRANGE(""https://docs.google.com/spreadsheets/d/1XL5vhW3sbDhbH9Cz0tuDiY8C3ctxq1tqvaCgkFb8cCA/edit?usp=sharing"",""นครพนม!M253"")"),14002)</f>
        <v>14002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IFERROR(__xludf.DUMMYFUNCTION("IMPORTRANGE(""https://docs.google.com/spreadsheets/d/1XL5vhW3sbDhbH9Cz0tuDiY8C3ctxq1tqvaCgkFb8cCA/edit?usp=sharing"",""นครพนม!M275"")"),619269.13)</f>
        <v>619269.13</v>
      </c>
      <c r="O380" s="373">
        <f ca="1">+IF(L380&gt;0,N380*100/L380,0)</f>
        <v>60.209731458795162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IFERROR(__xludf.DUMMYFUNCTION("IMPORTRANGE(""https://docs.google.com/spreadsheets/d/1XL5vhW3sbDhbH9Cz0tuDiY8C3ctxq1tqvaCgkFb8cCA/edit?usp=sharing"",""นครพนม!M278"")"),619269.13)</f>
        <v>619269.13</v>
      </c>
      <c r="O383" s="165">
        <f t="shared" ca="1" si="109"/>
        <v>60.209731458795162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IFERROR(__xludf.DUMMYFUNCTION("IMPORTRANGE(""https://docs.google.com/spreadsheets/d/1XL5vhW3sbDhbH9Cz0tuDiY8C3ctxq1tqvaCgkFb8cCA/edit?usp=sharing"",""นครพนม!M280"")"),619269.13)</f>
        <v>619269.13</v>
      </c>
      <c r="O385" s="169">
        <f t="shared" ca="1" si="109"/>
        <v>60.209731458795162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IFERROR(__xludf.DUMMYFUNCTION("IMPORTRANGE(""https://docs.google.com/spreadsheets/d/1XL5vhW3sbDhbH9Cz0tuDiY8C3ctxq1tqvaCgkFb8cCA/edit?usp=sharing"",""นครพนม!M281"")"),185367.13)</f>
        <v>185367.13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IFERROR(__xludf.DUMMYFUNCTION("IMPORTRANGE(""https://docs.google.com/spreadsheets/d/1XL5vhW3sbDhbH9Cz0tuDiY8C3ctxq1tqvaCgkFb8cCA/edit?usp=sharing"",""นครพนม!M282"")"),311320)</f>
        <v>311320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IFERROR(__xludf.DUMMYFUNCTION("IMPORTRANGE(""https://docs.google.com/spreadsheets/d/1XL5vhW3sbDhbH9Cz0tuDiY8C3ctxq1tqvaCgkFb8cCA/edit?usp=sharing"",""นครพนม!M283"")"),94742)</f>
        <v>94742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IFERROR(__xludf.DUMMYFUNCTION("IMPORTRANGE(""https://docs.google.com/spreadsheets/d/1XL5vhW3sbDhbH9Cz0tuDiY8C3ctxq1tqvaCgkFb8cCA/edit?usp=sharing"",""นครพนม!M284"")"),27840)</f>
        <v>27840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IFERROR(__xludf.DUMMYFUNCTION("IMPORTRANGE(""https://docs.google.com/spreadsheets/d/1XL5vhW3sbDhbH9Cz0tuDiY8C3ctxq1tqvaCgkFb8cCA/edit?usp=sharing"",""นครพนม!J293"")"),137)</f>
        <v>137</v>
      </c>
      <c r="K398" s="163">
        <f t="shared" ca="1" si="110"/>
        <v>137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IFERROR(__xludf.DUMMYFUNCTION("IMPORTRANGE(""https://docs.google.com/spreadsheets/d/1XL5vhW3sbDhbH9Cz0tuDiY8C3ctxq1tqvaCgkFb8cCA/edit?usp=sharing"",""นครพนม!J294"")"),1000)</f>
        <v>1000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IFERROR(__xludf.DUMMYFUNCTION("IMPORTRANGE(""https://docs.google.com/spreadsheets/d/1XL5vhW3sbDhbH9Cz0tuDiY8C3ctxq1tqvaCgkFb8cCA/edit?usp=sharing"",""นครพนม!J295"")"),0)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IFERROR(__xludf.DUMMYFUNCTION("IMPORTRANGE(""https://docs.google.com/spreadsheets/d/1XL5vhW3sbDhbH9Cz0tuDiY8C3ctxq1tqvaCgkFb8cCA/edit?usp=sharing"",""นครพนม!M296"")"),111551.8)</f>
        <v>111551.8</v>
      </c>
      <c r="O401" s="373">
        <f ca="1">+IF(L401&gt;0,N401*100/L401,0)</f>
        <v>77.166436081903711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IFERROR(__xludf.DUMMYFUNCTION("IMPORTRANGE(""https://docs.google.com/spreadsheets/d/1XL5vhW3sbDhbH9Cz0tuDiY8C3ctxq1tqvaCgkFb8cCA/edit?usp=sharing"",""นครพนม!M299"")"),111551.8)</f>
        <v>111551.8</v>
      </c>
      <c r="O404" s="169">
        <f t="shared" ca="1" si="112"/>
        <v>77.166436081903711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IFERROR(__xludf.DUMMYFUNCTION("IMPORTRANGE(""https://docs.google.com/spreadsheets/d/1XL5vhW3sbDhbH9Cz0tuDiY8C3ctxq1tqvaCgkFb8cCA/edit?usp=sharing"",""นครพนม!M301"")"),111551.8)</f>
        <v>111551.8</v>
      </c>
      <c r="O406" s="169">
        <f t="shared" ca="1" si="112"/>
        <v>77.166436081903711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IFERROR(__xludf.DUMMYFUNCTION("IMPORTRANGE(""https://docs.google.com/spreadsheets/d/1XL5vhW3sbDhbH9Cz0tuDiY8C3ctxq1tqvaCgkFb8cCA/edit?usp=sharing"",""นครพนม!M302"")"),70351.8)</f>
        <v>70351.8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IFERROR(__xludf.DUMMYFUNCTION("IMPORTRANGE(""https://docs.google.com/spreadsheets/d/1XL5vhW3sbDhbH9Cz0tuDiY8C3ctxq1tqvaCgkFb8cCA/edit?usp=sharing"",""นครพนม!M303"")"),29000)</f>
        <v>29000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IFERROR(__xludf.DUMMYFUNCTION("IMPORTRANGE(""https://docs.google.com/spreadsheets/d/1XL5vhW3sbDhbH9Cz0tuDiY8C3ctxq1tqvaCgkFb8cCA/edit?usp=sharing"",""นครพนม!M305"")"),12200)</f>
        <v>12200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IFERROR(__xludf.DUMMYFUNCTION("IMPORTRANGE(""https://docs.google.com/spreadsheets/d/1XL5vhW3sbDhbH9Cz0tuDiY8C3ctxq1tqvaCgkFb8cCA/edit?usp=sharing"",""นครพนม!J329"")"),0)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IFERROR(__xludf.DUMMYFUNCTION("IMPORTRANGE(""https://docs.google.com/spreadsheets/d/1XL5vhW3sbDhbH9Cz0tuDiY8C3ctxq1tqvaCgkFb8cCA/edit?usp=sharing"",""นครพนม!M330"")"),88176.65)</f>
        <v>88176.65</v>
      </c>
      <c r="O435" s="412">
        <f t="shared" ref="O435:O439" ca="1" si="114">+IF(L435&gt;0,N435*100/L435,0)</f>
        <v>79.797873303167421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IFERROR(__xludf.DUMMYFUNCTION("IMPORTRANGE(""https://docs.google.com/spreadsheets/d/1XL5vhW3sbDhbH9Cz0tuDiY8C3ctxq1tqvaCgkFb8cCA/edit?usp=sharing"",""นครพนม!M332"")"),88176.65)</f>
        <v>88176.65</v>
      </c>
      <c r="O437" s="169">
        <f t="shared" ca="1" si="114"/>
        <v>79.797873303167421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IFERROR(__xludf.DUMMYFUNCTION("IMPORTRANGE(""https://docs.google.com/spreadsheets/d/1XL5vhW3sbDhbH9Cz0tuDiY8C3ctxq1tqvaCgkFb8cCA/edit?usp=sharing"",""นครพนม!M334"")"),88176.65)</f>
        <v>88176.65</v>
      </c>
      <c r="O439" s="169">
        <f t="shared" ca="1" si="114"/>
        <v>79.797873303167421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IFERROR(__xludf.DUMMYFUNCTION("IMPORTRANGE(""https://docs.google.com/spreadsheets/d/1XL5vhW3sbDhbH9Cz0tuDiY8C3ctxq1tqvaCgkFb8cCA/edit?usp=sharing"",""นครพนม!M335"")"),59588)</f>
        <v>59588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IFERROR(__xludf.DUMMYFUNCTION("IMPORTRANGE(""https://docs.google.com/spreadsheets/d/1XL5vhW3sbDhbH9Cz0tuDiY8C3ctxq1tqvaCgkFb8cCA/edit?usp=sharing"",""นครพนม!M338"")"),28588.65)</f>
        <v>28588.65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IFERROR(__xludf.DUMMYFUNCTION("IMPORTRANGE(""https://docs.google.com/spreadsheets/d/1XL5vhW3sbDhbH9Cz0tuDiY8C3ctxq1tqvaCgkFb8cCA/edit?usp=sharing"",""นครพนม!J350"")"),27125)</f>
        <v>27125</v>
      </c>
      <c r="K455" s="372">
        <f ca="1">IF(I455&gt;0,J455*100/I455,0)</f>
        <v>91.194862829478211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IFERROR(__xludf.DUMMYFUNCTION("IMPORTRANGE(""https://docs.google.com/spreadsheets/d/1XL5vhW3sbDhbH9Cz0tuDiY8C3ctxq1tqvaCgkFb8cCA/edit?usp=sharing"",""นครพนม!M350"")"),128886)</f>
        <v>128886</v>
      </c>
      <c r="O455" s="373">
        <f t="shared" ref="O455:O459" ca="1" si="116">+IF(L455&gt;0,N455*100/L455,0)</f>
        <v>47.090416844782041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IFERROR(__xludf.DUMMYFUNCTION("IMPORTRANGE(""https://docs.google.com/spreadsheets/d/1XL5vhW3sbDhbH9Cz0tuDiY8C3ctxq1tqvaCgkFb8cCA/edit?usp=sharing"",""นครพนม!M352"")"),128886)</f>
        <v>128886</v>
      </c>
      <c r="O457" s="169">
        <f t="shared" ca="1" si="116"/>
        <v>47.090416844782041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IFERROR(__xludf.DUMMYFUNCTION("IMPORTRANGE(""https://docs.google.com/spreadsheets/d/1XL5vhW3sbDhbH9Cz0tuDiY8C3ctxq1tqvaCgkFb8cCA/edit?usp=sharing"",""นครพนม!M354"")"),128886)</f>
        <v>128886</v>
      </c>
      <c r="O459" s="169">
        <f t="shared" ca="1" si="116"/>
        <v>47.090416844782041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IFERROR(__xludf.DUMMYFUNCTION("IMPORTRANGE(""https://docs.google.com/spreadsheets/d/1XL5vhW3sbDhbH9Cz0tuDiY8C3ctxq1tqvaCgkFb8cCA/edit?usp=sharing"",""นครพนม!M358"")"),128886)</f>
        <v>128886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IFERROR(__xludf.DUMMYFUNCTION("IMPORTRANGE(""https://docs.google.com/spreadsheets/d/1XL5vhW3sbDhbH9Cz0tuDiY8C3ctxq1tqvaCgkFb8cCA/edit?usp=sharing"",""นครพนม!J359"")"),27125)</f>
        <v>27125</v>
      </c>
      <c r="K464" s="269">
        <f t="shared" ref="K464:K515" ca="1" si="117">IF(I464&gt;0,J464*100/I464,0)</f>
        <v>91.194862829478211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IFERROR(__xludf.DUMMYFUNCTION("IMPORTRANGE(""https://docs.google.com/spreadsheets/d/1XL5vhW3sbDhbH9Cz0tuDiY8C3ctxq1tqvaCgkFb8cCA/edit?usp=sharing"",""นครพนม!J376"")"),27125)</f>
        <v>27125</v>
      </c>
      <c r="K481" s="202">
        <f t="shared" ca="1" si="117"/>
        <v>91.194862829478211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IFERROR(__xludf.DUMMYFUNCTION("IMPORTRANGE(""https://docs.google.com/spreadsheets/d/1XL5vhW3sbDhbH9Cz0tuDiY8C3ctxq1tqvaCgkFb8cCA/edit?usp=sharing"",""นครพนม!J377"")"),2316)</f>
        <v>2316</v>
      </c>
      <c r="K482" s="202">
        <f t="shared" ca="1" si="117"/>
        <v>88.060836501901136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IFERROR(__xludf.DUMMYFUNCTION("IMPORTRANGE(""https://docs.google.com/spreadsheets/d/1XL5vhW3sbDhbH9Cz0tuDiY8C3ctxq1tqvaCgkFb8cCA/edit?usp=sharing"",""นครพนม!J378"")"),26154)</f>
        <v>26154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IFERROR(__xludf.DUMMYFUNCTION("IMPORTRANGE(""https://docs.google.com/spreadsheets/d/1XL5vhW3sbDhbH9Cz0tuDiY8C3ctxq1tqvaCgkFb8cCA/edit?usp=sharing"",""นครพนม!J379"")"),2237)</f>
        <v>2237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IFERROR(__xludf.DUMMYFUNCTION("IMPORTRANGE(""https://docs.google.com/spreadsheets/d/1XL5vhW3sbDhbH9Cz0tuDiY8C3ctxq1tqvaCgkFb8cCA/edit?usp=sharing"",""นครพนม!J380"")"),647)</f>
        <v>647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IFERROR(__xludf.DUMMYFUNCTION("IMPORTRANGE(""https://docs.google.com/spreadsheets/d/1XL5vhW3sbDhbH9Cz0tuDiY8C3ctxq1tqvaCgkFb8cCA/edit?usp=sharing"",""นครพนม!J381"")"),50)</f>
        <v>50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IFERROR(__xludf.DUMMYFUNCTION("IMPORTRANGE(""https://docs.google.com/spreadsheets/d/1XL5vhW3sbDhbH9Cz0tuDiY8C3ctxq1tqvaCgkFb8cCA/edit?usp=sharing"",""นครพนม!J382"")"),324)</f>
        <v>324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IFERROR(__xludf.DUMMYFUNCTION("IMPORTRANGE(""https://docs.google.com/spreadsheets/d/1XL5vhW3sbDhbH9Cz0tuDiY8C3ctxq1tqvaCgkFb8cCA/edit?usp=sharing"",""นครพนม!J383"")"),29)</f>
        <v>29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IFERROR(__xludf.DUMMYFUNCTION("IMPORTRANGE(""https://docs.google.com/spreadsheets/d/1XL5vhW3sbDhbH9Cz0tuDiY8C3ctxq1tqvaCgkFb8cCA/edit?usp=sharing"",""นครพนม!J384"")"),324)</f>
        <v>324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IFERROR(__xludf.DUMMYFUNCTION("IMPORTRANGE(""https://docs.google.com/spreadsheets/d/1XL5vhW3sbDhbH9Cz0tuDiY8C3ctxq1tqvaCgkFb8cCA/edit?usp=sharing"",""นครพนม!J385"")"),29)</f>
        <v>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IFERROR(__xludf.DUMMYFUNCTION("IMPORTRANGE(""https://docs.google.com/spreadsheets/d/1XL5vhW3sbDhbH9Cz0tuDiY8C3ctxq1tqvaCgkFb8cCA/edit?usp=sharing"",""นครพนม!J392"")"),2044)</f>
        <v>2044</v>
      </c>
      <c r="K497" s="444">
        <f t="shared" ca="1" si="117"/>
        <v>98.363811357074113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IFERROR(__xludf.DUMMYFUNCTION("IMPORTRANGE(""https://docs.google.com/spreadsheets/d/1XL5vhW3sbDhbH9Cz0tuDiY8C3ctxq1tqvaCgkFb8cCA/edit?usp=sharing"",""นครพนม!J393"")"),2044)</f>
        <v>2044</v>
      </c>
      <c r="K498" s="202">
        <f t="shared" ca="1" si="117"/>
        <v>98.363811357074113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IFERROR(__xludf.DUMMYFUNCTION("IMPORTRANGE(""https://docs.google.com/spreadsheets/d/1XL5vhW3sbDhbH9Cz0tuDiY8C3ctxq1tqvaCgkFb8cCA/edit?usp=sharing"",""นครพนม!J394"")"),265)</f>
        <v>265</v>
      </c>
      <c r="K499" s="202">
        <f t="shared" ca="1" si="117"/>
        <v>98.880597014925371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IFERROR(__xludf.DUMMYFUNCTION("IMPORTRANGE(""https://docs.google.com/spreadsheets/d/1XL5vhW3sbDhbH9Cz0tuDiY8C3ctxq1tqvaCgkFb8cCA/edit?usp=sharing"",""นครพนม!J395"")"),2044)</f>
        <v>2044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IFERROR(__xludf.DUMMYFUNCTION("IMPORTRANGE(""https://docs.google.com/spreadsheets/d/1XL5vhW3sbDhbH9Cz0tuDiY8C3ctxq1tqvaCgkFb8cCA/edit?usp=sharing"",""นครพนม!J396"")"),265)</f>
        <v>265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IFERROR(__xludf.DUMMYFUNCTION("IMPORTRANGE(""https://docs.google.com/spreadsheets/d/1XL5vhW3sbDhbH9Cz0tuDiY8C3ctxq1tqvaCgkFb8cCA/edit?usp=sharing"",""นครพนม!J397"")"),1986)</f>
        <v>1986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IFERROR(__xludf.DUMMYFUNCTION("IMPORTRANGE(""https://docs.google.com/spreadsheets/d/1XL5vhW3sbDhbH9Cz0tuDiY8C3ctxq1tqvaCgkFb8cCA/edit?usp=sharing"",""นครพนม!J398"")"),257)</f>
        <v>257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IFERROR(__xludf.DUMMYFUNCTION("IMPORTRANGE(""https://docs.google.com/spreadsheets/d/1XL5vhW3sbDhbH9Cz0tuDiY8C3ctxq1tqvaCgkFb8cCA/edit?usp=sharing"",""นครพนม!J399"")"),58)</f>
        <v>58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IFERROR(__xludf.DUMMYFUNCTION("IMPORTRANGE(""https://docs.google.com/spreadsheets/d/1XL5vhW3sbDhbH9Cz0tuDiY8C3ctxq1tqvaCgkFb8cCA/edit?usp=sharing"",""นครพนม!J400"")"),8)</f>
        <v>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IFERROR(__xludf.DUMMYFUNCTION("IMPORTRANGE(""https://docs.google.com/spreadsheets/d/1XL5vhW3sbDhbH9Cz0tuDiY8C3ctxq1tqvaCgkFb8cCA/edit?usp=sharing"",""นครพนม!I412"")"),0)</f>
        <v>0</v>
      </c>
      <c r="J517" s="285">
        <f ca="1">IFERROR(__xludf.DUMMYFUNCTION("IMPORTRANGE(""https://docs.google.com/spreadsheets/d/1XL5vhW3sbDhbH9Cz0tuDiY8C3ctxq1tqvaCgkFb8cCA/edit?usp=sharing"",""นครพนม!J412"")"),0)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IFERROR(__xludf.DUMMYFUNCTION("IMPORTRANGE(""https://docs.google.com/spreadsheets/d/1XL5vhW3sbDhbH9Cz0tuDiY8C3ctxq1tqvaCgkFb8cCA/edit?usp=sharing"",""นครพนม!I413"")"),0)</f>
        <v>0</v>
      </c>
      <c r="J518" s="285">
        <f ca="1">IFERROR(__xludf.DUMMYFUNCTION("IMPORTRANGE(""https://docs.google.com/spreadsheets/d/1XL5vhW3sbDhbH9Cz0tuDiY8C3ctxq1tqvaCgkFb8cCA/edit?usp=sharing"",""นครพนม!J413"")"),0)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IFERROR(__xludf.DUMMYFUNCTION("IMPORTRANGE(""https://docs.google.com/spreadsheets/d/1XL5vhW3sbDhbH9Cz0tuDiY8C3ctxq1tqvaCgkFb8cCA/edit?usp=sharing"",""นครพนม!I420"")"),0)</f>
        <v>0</v>
      </c>
      <c r="J525" s="285">
        <f ca="1">IFERROR(__xludf.DUMMYFUNCTION("IMPORTRANGE(""https://docs.google.com/spreadsheets/d/1XL5vhW3sbDhbH9Cz0tuDiY8C3ctxq1tqvaCgkFb8cCA/edit?usp=sharing"",""นครพนม!J420"")"),0)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IFERROR(__xludf.DUMMYFUNCTION("IMPORTRANGE(""https://docs.google.com/spreadsheets/d/1XL5vhW3sbDhbH9Cz0tuDiY8C3ctxq1tqvaCgkFb8cCA/edit?usp=sharing"",""นครพนม!I421"")"),0)</f>
        <v>0</v>
      </c>
      <c r="J526" s="285">
        <f ca="1">IFERROR(__xludf.DUMMYFUNCTION("IMPORTRANGE(""https://docs.google.com/spreadsheets/d/1XL5vhW3sbDhbH9Cz0tuDiY8C3ctxq1tqvaCgkFb8cCA/edit?usp=sharing"",""นครพนม!J421"")"),0)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IFERROR(__xludf.DUMMYFUNCTION("IMPORTRANGE(""https://docs.google.com/spreadsheets/d/1XL5vhW3sbDhbH9Cz0tuDiY8C3ctxq1tqvaCgkFb8cCA/edit?usp=sharing"",""นครพนม!J459"")"),3110)</f>
        <v>3110</v>
      </c>
      <c r="K564" s="372">
        <f ca="1">IF(I564&gt;0,J564*100/I564,0)</f>
        <v>259.16666666666669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IFERROR(__xludf.DUMMYFUNCTION("IMPORTRANGE(""https://docs.google.com/spreadsheets/d/1XL5vhW3sbDhbH9Cz0tuDiY8C3ctxq1tqvaCgkFb8cCA/edit?usp=sharing"",""นครพนม!M459"")"),84582.81)</f>
        <v>84582.81</v>
      </c>
      <c r="O564" s="373">
        <f t="shared" ref="O564:O568" ca="1" si="122">+IF(L564&gt;0,N564*100/L564,0)</f>
        <v>65.83344489414695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IFERROR(__xludf.DUMMYFUNCTION("IMPORTRANGE(""https://docs.google.com/spreadsheets/d/1XL5vhW3sbDhbH9Cz0tuDiY8C3ctxq1tqvaCgkFb8cCA/edit?usp=sharing"",""นครพนม!M461"")"),84582.81)</f>
        <v>84582.81</v>
      </c>
      <c r="O566" s="169">
        <f t="shared" ca="1" si="122"/>
        <v>65.83344489414695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IFERROR(__xludf.DUMMYFUNCTION("IMPORTRANGE(""https://docs.google.com/spreadsheets/d/1XL5vhW3sbDhbH9Cz0tuDiY8C3ctxq1tqvaCgkFb8cCA/edit?usp=sharing"",""นครพนม!M463"")"),84582.81)</f>
        <v>84582.81</v>
      </c>
      <c r="O568" s="169">
        <f t="shared" ca="1" si="122"/>
        <v>65.83344489414695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IFERROR(__xludf.DUMMYFUNCTION("IMPORTRANGE(""https://docs.google.com/spreadsheets/d/1XL5vhW3sbDhbH9Cz0tuDiY8C3ctxq1tqvaCgkFb8cCA/edit?usp=sharing"",""นครพนม!M466"")"),83682.81)</f>
        <v>83682.81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IFERROR(__xludf.DUMMYFUNCTION("IMPORTRANGE(""https://docs.google.com/spreadsheets/d/1XL5vhW3sbDhbH9Cz0tuDiY8C3ctxq1tqvaCgkFb8cCA/edit?usp=sharing"",""นครพนม!J468"")"),3110)</f>
        <v>3110</v>
      </c>
      <c r="K573" s="202">
        <f ca="1">IF(I573&gt;0,J573*100/I573,0)</f>
        <v>259.16666666666669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IFERROR(__xludf.DUMMYFUNCTION("IMPORTRANGE(""https://docs.google.com/spreadsheets/d/1XL5vhW3sbDhbH9Cz0tuDiY8C3ctxq1tqvaCgkFb8cCA/edit?usp=sharing"",""นครพนม!J472"")"),2972)</f>
        <v>2972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1">
        <f ca="1">IFERROR(__xludf.DUMMYFUNCTION("IMPORTRANGE(""https://docs.google.com/spreadsheets/d/1XL5vhW3sbDhbH9Cz0tuDiY8C3ctxq1tqvaCgkFb8cCA/edit?usp=sharing"",""นครพนม!J487"")"),0.15)</f>
        <v>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8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IFERROR(__xludf.DUMMYFUNCTION("IMPORTRANGE(""https://docs.google.com/spreadsheets/d/1XL5vhW3sbDhbH9Cz0tuDiY8C3ctxq1tqvaCgkFb8cCA/edit?usp=sharing"",""นครพนม!L494"")"),16100)</f>
        <v>16100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8.3850931677018625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IFERROR(__xludf.DUMMYFUNCTION("IMPORTRANGE(""https://docs.google.com/spreadsheets/d/1XL5vhW3sbDhbH9Cz0tuDiY8C3ctxq1tqvaCgkFb8cCA/edit?usp=sharing"",""นครพนม!L496"")"),16100)</f>
        <v>16100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8.3850931677018625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2">
        <f ca="1">IFERROR(__xludf.DUMMYFUNCTION("IMPORTRANGE(""https://docs.google.com/spreadsheets/d/1XL5vhW3sbDhbH9Cz0tuDiY8C3ctxq1tqvaCgkFb8cCA/edit?usp=sharing"",""นครพนม!J523"")"),1980630.57)</f>
        <v>1980630.57</v>
      </c>
      <c r="K628" s="343">
        <f t="shared" ref="K628:K635" ca="1" si="129">IF(I628&gt;0,J628*100/I628,0)</f>
        <v>90.239155768184048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IFERROR(__xludf.DUMMYFUNCTION("IMPORTRANGE(""https://docs.google.com/spreadsheets/d/1XL5vhW3sbDhbH9Cz0tuDiY8C3ctxq1tqvaCgkFb8cCA/edit?usp=sharing"",""นครพนม!I524"")"),214)</f>
        <v>214</v>
      </c>
      <c r="J629" s="342">
        <f ca="1">IFERROR(__xludf.DUMMYFUNCTION("IMPORTRANGE(""https://docs.google.com/spreadsheets/d/1XL5vhW3sbDhbH9Cz0tuDiY8C3ctxq1tqvaCgkFb8cCA/edit?usp=sharing"",""นครพนม!J524"")"),196)</f>
        <v>196</v>
      </c>
      <c r="K629" s="343">
        <f t="shared" ca="1" si="129"/>
        <v>91.588785046728972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IFERROR(__xludf.DUMMYFUNCTION("IMPORTRANGE(""https://docs.google.com/spreadsheets/d/1XL5vhW3sbDhbH9Cz0tuDiY8C3ctxq1tqvaCgkFb8cCA/edit?usp=sharing"",""นครพนม!I525"")"),3131499.4)</f>
        <v>3131499.4</v>
      </c>
      <c r="J630" s="342">
        <f ca="1">IFERROR(__xludf.DUMMYFUNCTION("IMPORTRANGE(""https://docs.google.com/spreadsheets/d/1XL5vhW3sbDhbH9Cz0tuDiY8C3ctxq1tqvaCgkFb8cCA/edit?usp=sharing"",""นครพนม!J525"")"),608972.92)</f>
        <v>608972.92000000004</v>
      </c>
      <c r="K630" s="343">
        <f t="shared" ca="1" si="129"/>
        <v>19.446688062593914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IFERROR(__xludf.DUMMYFUNCTION("IMPORTRANGE(""https://docs.google.com/spreadsheets/d/1XL5vhW3sbDhbH9Cz0tuDiY8C3ctxq1tqvaCgkFb8cCA/edit?usp=sharing"",""นครพนม!I526"")"),144)</f>
        <v>144</v>
      </c>
      <c r="J631" s="342">
        <f ca="1">IFERROR(__xludf.DUMMYFUNCTION("IMPORTRANGE(""https://docs.google.com/spreadsheets/d/1XL5vhW3sbDhbH9Cz0tuDiY8C3ctxq1tqvaCgkFb8cCA/edit?usp=sharing"",""นครพนม!J526"")"),94)</f>
        <v>94</v>
      </c>
      <c r="K631" s="343">
        <f t="shared" ca="1" si="129"/>
        <v>65.277777777777771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IFERROR(__xludf.DUMMYFUNCTION("IMPORTRANGE(""https://docs.google.com/spreadsheets/d/1XL5vhW3sbDhbH9Cz0tuDiY8C3ctxq1tqvaCgkFb8cCA/edit?usp=sharing"",""นครพนม!I527"")"),203773.43)</f>
        <v>203773.43</v>
      </c>
      <c r="J632" s="342">
        <f ca="1">IFERROR(__xludf.DUMMYFUNCTION("IMPORTRANGE(""https://docs.google.com/spreadsheets/d/1XL5vhW3sbDhbH9Cz0tuDiY8C3ctxq1tqvaCgkFb8cCA/edit?usp=sharing"",""นครพนม!J527"")"),102956.82)</f>
        <v>102956.82</v>
      </c>
      <c r="K632" s="343">
        <f t="shared" ca="1" si="129"/>
        <v>50.525144519577459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IFERROR(__xludf.DUMMYFUNCTION("IMPORTRANGE(""https://docs.google.com/spreadsheets/d/1XL5vhW3sbDhbH9Cz0tuDiY8C3ctxq1tqvaCgkFb8cCA/edit?usp=sharing"",""นครพนม!I528"")"),16)</f>
        <v>16</v>
      </c>
      <c r="J633" s="342">
        <f ca="1">IFERROR(__xludf.DUMMYFUNCTION("IMPORTRANGE(""https://docs.google.com/spreadsheets/d/1XL5vhW3sbDhbH9Cz0tuDiY8C3ctxq1tqvaCgkFb8cCA/edit?usp=sharing"",""นครพนม!J528"")"),14)</f>
        <v>14</v>
      </c>
      <c r="K633" s="343">
        <f t="shared" ca="1" si="129"/>
        <v>87.5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IFERROR(__xludf.DUMMYFUNCTION("IMPORTRANGE(""https://docs.google.com/spreadsheets/d/1XL5vhW3sbDhbH9Cz0tuDiY8C3ctxq1tqvaCgkFb8cCA/edit?usp=sharing"",""นครพนม!I529"")"),2700000)</f>
        <v>2700000</v>
      </c>
      <c r="J634" s="342">
        <f ca="1">IFERROR(__xludf.DUMMYFUNCTION("IMPORTRANGE(""https://docs.google.com/spreadsheets/d/1XL5vhW3sbDhbH9Cz0tuDiY8C3ctxq1tqvaCgkFb8cCA/edit?usp=sharing"",""นครพนม!J529"")"),2700000)</f>
        <v>2700000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IFERROR(__xludf.DUMMYFUNCTION("IMPORTRANGE(""https://docs.google.com/spreadsheets/d/1XL5vhW3sbDhbH9Cz0tuDiY8C3ctxq1tqvaCgkFb8cCA/edit?usp=sharing"",""นครพนม!I530"")"),90)</f>
        <v>90</v>
      </c>
      <c r="J635" s="505">
        <f ca="1">IFERROR(__xludf.DUMMYFUNCTION("IMPORTRANGE(""https://docs.google.com/spreadsheets/d/1XL5vhW3sbDhbH9Cz0tuDiY8C3ctxq1tqvaCgkFb8cCA/edit?usp=sharing"",""นครพนม!J530"")"),90)</f>
        <v>90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4240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4240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4240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IFERROR(__xludf.DUMMYFUNCTION("IMPORTRANGE(""https://docs.google.com/spreadsheets/d/1XL5vhW3sbDhbH9Cz0tuDiY8C3ctxq1tqvaCgkFb8cCA/edit#gid=346597447"",""นครพนม!J541"")"),0)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IFERROR(__xludf.DUMMYFUNCTION("IMPORTRANGE(""https://docs.google.com/spreadsheets/d/1XL5vhW3sbDhbH9Cz0tuDiY8C3ctxq1tqvaCgkFb8cCA/edit#gid=346597447"",""นครพนม!J542"")"),0)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IFERROR(__xludf.DUMMYFUNCTION("IMPORTRANGE(""https://docs.google.com/spreadsheets/d/1XL5vhW3sbDhbH9Cz0tuDiY8C3ctxq1tqvaCgkFb8cCA/edit#gid=346597447"",""นครพนม!I543"")"),35)</f>
        <v>35</v>
      </c>
      <c r="J648" s="586">
        <f ca="1">IFERROR(__xludf.DUMMYFUNCTION("IMPORTRANGE(""https://docs.google.com/spreadsheets/d/1XL5vhW3sbDhbH9Cz0tuDiY8C3ctxq1tqvaCgkFb8cCA/edit#gid=346597447"",""นครพนม!J543"")"),0)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IFERROR(__xludf.DUMMYFUNCTION("IMPORTRANGE(""https://docs.google.com/spreadsheets/d/1XL5vhW3sbDhbH9Cz0tuDiY8C3ctxq1tqvaCgkFb8cCA/edit#gid=346597447"",""นครพนม!L543"")"),2800)</f>
        <v>2800</v>
      </c>
      <c r="M648" s="571"/>
      <c r="N648" s="588">
        <f ca="1">IFERROR(__xludf.DUMMYFUNCTION("IMPORTRANGE(""https://docs.google.com/spreadsheets/d/1XL5vhW3sbDhbH9Cz0tuDiY8C3ctxq1tqvaCgkFb8cCA/edit#gid=346597447"",""นครพนม!M543"")"),0)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IFERROR(__xludf.DUMMYFUNCTION("IMPORTRANGE(""https://docs.google.com/spreadsheets/d/1XL5vhW3sbDhbH9Cz0tuDiY8C3ctxq1tqvaCgkFb8cCA/edit#gid=346597447"",""นครพนม!I544"")"),12)</f>
        <v>12</v>
      </c>
      <c r="J649" s="586">
        <f ca="1">IFERROR(__xludf.DUMMYFUNCTION("IMPORTRANGE(""https://docs.google.com/spreadsheets/d/1XL5vhW3sbDhbH9Cz0tuDiY8C3ctxq1tqvaCgkFb8cCA/edit#gid=346597447"",""นครพนม!J544"")"),3)</f>
        <v>3</v>
      </c>
      <c r="K649" s="587">
        <f t="shared" ca="1" si="131"/>
        <v>25</v>
      </c>
      <c r="L649" s="572">
        <f ca="1">IFERROR(__xludf.DUMMYFUNCTION("IMPORTRANGE(""https://docs.google.com/spreadsheets/d/1XL5vhW3sbDhbH9Cz0tuDiY8C3ctxq1tqvaCgkFb8cCA/edit#gid=346597447"",""นครพนม!L544"")"),1440)</f>
        <v>1440</v>
      </c>
      <c r="M649" s="571"/>
      <c r="N649" s="588">
        <f ca="1">IFERROR(__xludf.DUMMYFUNCTION("IMPORTRANGE(""https://docs.google.com/spreadsheets/d/1XL5vhW3sbDhbH9Cz0tuDiY8C3ctxq1tqvaCgkFb8cCA/edit#gid=346597447"",""นครพนม!M544"")"),0)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IFERROR(__xludf.DUMMYFUNCTION("IMPORTRANGE(""https://docs.google.com/spreadsheets/d/1XL5vhW3sbDhbH9Cz0tuDiY8C3ctxq1tqvaCgkFb8cCA/edit#gid=346597447"",""นครพนม!I545"")"),0)</f>
        <v>0</v>
      </c>
      <c r="J650" s="586">
        <f ca="1">IFERROR(__xludf.DUMMYFUNCTION("IMPORTRANGE(""https://docs.google.com/spreadsheets/d/1XL5vhW3sbDhbH9Cz0tuDiY8C3ctxq1tqvaCgkFb8cCA/edit#gid=346597447"",""นครพนม!J545"")"),0)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IFERROR(__xludf.DUMMYFUNCTION("IMPORTRANGE(""https://docs.google.com/spreadsheets/d/1XL5vhW3sbDhbH9Cz0tuDiY8C3ctxq1tqvaCgkFb8cCA/edit#gid=346597447"",""นครพนม!L545"")"),0)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IFERROR(__xludf.DUMMYFUNCTION("IMPORTRANGE(""https://docs.google.com/spreadsheets/d/1XL5vhW3sbDhbH9Cz0tuDiY8C3ctxq1tqvaCgkFb8cCA/edit#gid=346597447"",""นครพนม!M545"")"),0)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IFERROR(__xludf.DUMMYFUNCTION("IMPORTRANGE(""https://docs.google.com/spreadsheets/d/1XL5vhW3sbDhbH9Cz0tuDiY8C3ctxq1tqvaCgkFb8cCA/edit#gid=346597447"",""นครพนม!I546"")"),0)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IFERROR(__xludf.DUMMYFUNCTION("IMPORTRANGE(""https://docs.google.com/spreadsheets/d/1XL5vhW3sbDhbH9Cz0tuDiY8C3ctxq1tqvaCgkFb8cCA/edit#gid=346597447"",""นครพนม!L546"")"),0)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IFERROR(__xludf.DUMMYFUNCTION("IMPORTRANGE(""https://docs.google.com/spreadsheets/d/1XL5vhW3sbDhbH9Cz0tuDiY8C3ctxq1tqvaCgkFb8cCA/edit#gid=346597447"",""นครพนม!M546"")"),0)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IFERROR(__xludf.DUMMYFUNCTION("IMPORTRANGE(""https://docs.google.com/spreadsheets/d/1XL5vhW3sbDhbH9Cz0tuDiY8C3ctxq1tqvaCgkFb8cCA/edit#gid=346597447"",""นครพนม!J547"")"),0)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IFERROR(__xludf.DUMMYFUNCTION("IMPORTRANGE(""https://docs.google.com/spreadsheets/d/1XL5vhW3sbDhbH9Cz0tuDiY8C3ctxq1tqvaCgkFb8cCA/edit#gid=346597447"",""นครพนม!J548"")"),0)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IFERROR(__xludf.DUMMYFUNCTION("IMPORTRANGE(""https://docs.google.com/spreadsheets/d/1XL5vhW3sbDhbH9Cz0tuDiY8C3ctxq1tqvaCgkFb8cCA/edit#gid=346597447"",""นครพนม!J550"")"),0)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IFERROR(__xludf.DUMMYFUNCTION("IMPORTRANGE(""https://docs.google.com/spreadsheets/d/1XL5vhW3sbDhbH9Cz0tuDiY8C3ctxq1tqvaCgkFb8cCA/edit#gid=346597447"",""นครพนม!J551"")"),0)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IFERROR(__xludf.DUMMYFUNCTION("IMPORTRANGE(""https://docs.google.com/spreadsheets/d/1XL5vhW3sbDhbH9Cz0tuDiY8C3ctxq1tqvaCgkFb8cCA/edit#gid=346597447"",""นครพนม!J552"")"),0)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IFERROR(__xludf.DUMMYFUNCTION("IMPORTRANGE(""https://docs.google.com/spreadsheets/d/1XL5vhW3sbDhbH9Cz0tuDiY8C3ctxq1tqvaCgkFb8cCA/edit#gid=346597447"",""นครพนม!J553"")"),0)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IFERROR(__xludf.DUMMYFUNCTION("IMPORTRANGE(""https://docs.google.com/spreadsheets/d/1XL5vhW3sbDhbH9Cz0tuDiY8C3ctxq1tqvaCgkFb8cCA/edit#gid=346597447"",""นครพนม!J554"")"),0)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IFERROR(__xludf.DUMMYFUNCTION("IMPORTRANGE(""https://docs.google.com/spreadsheets/d/1XL5vhW3sbDhbH9Cz0tuDiY8C3ctxq1tqvaCgkFb8cCA/edit#gid=346597447"",""นครพนม!J555"")"),0)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IFERROR(__xludf.DUMMYFUNCTION("IMPORTRANGE(""https://docs.google.com/spreadsheets/d/1XL5vhW3sbDhbH9Cz0tuDiY8C3ctxq1tqvaCgkFb8cCA/edit#gid=346597447"",""นครพนม!J556"")"),0)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IFERROR(__xludf.DUMMYFUNCTION("IMPORTRANGE(""https://docs.google.com/spreadsheets/d/1XL5vhW3sbDhbH9Cz0tuDiY8C3ctxq1tqvaCgkFb8cCA/edit#gid=346597447"",""นครพนม!L556"")"),0)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IFERROR(__xludf.DUMMYFUNCTION("IMPORTRANGE(""https://docs.google.com/spreadsheets/d/1XL5vhW3sbDhbH9Cz0tuDiY8C3ctxq1tqvaCgkFb8cCA/edit#gid=346597447"",""นครพนม!M556"")"),0)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IFERROR(__xludf.DUMMYFUNCTION("IMPORTRANGE(""https://docs.google.com/spreadsheets/d/1XL5vhW3sbDhbH9Cz0tuDiY8C3ctxq1tqvaCgkFb8cCA/edit#gid=346597447"",""นครพนม!J557"")"),0)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IFERROR(__xludf.DUMMYFUNCTION("IMPORTRANGE(""https://docs.google.com/spreadsheets/d/1XL5vhW3sbDhbH9Cz0tuDiY8C3ctxq1tqvaCgkFb8cCA/edit#gid=346597447"",""นครพนม!I558"")"),0)</f>
        <v>0</v>
      </c>
      <c r="J663" s="586">
        <f ca="1">IFERROR(__xludf.DUMMYFUNCTION("IMPORTRANGE(""https://docs.google.com/spreadsheets/d/1XL5vhW3sbDhbH9Cz0tuDiY8C3ctxq1tqvaCgkFb8cCA/edit#gid=346597447"",""นครพนม!J558"")"),0)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IFERROR(__xludf.DUMMYFUNCTION("IMPORTRANGE(""https://docs.google.com/spreadsheets/d/1XL5vhW3sbDhbH9Cz0tuDiY8C3ctxq1tqvaCgkFb8cCA/edit#gid=346597447"",""นครพนม!I560"")"),0)</f>
        <v>0</v>
      </c>
      <c r="J665" s="586">
        <f ca="1">IFERROR(__xludf.DUMMYFUNCTION("IMPORTRANGE(""https://docs.google.com/spreadsheets/d/1XL5vhW3sbDhbH9Cz0tuDiY8C3ctxq1tqvaCgkFb8cCA/edit#gid=346597447"",""นครพนม!J560"")"),0)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IFERROR(__xludf.DUMMYFUNCTION("IMPORTRANGE(""https://docs.google.com/spreadsheets/d/1XL5vhW3sbDhbH9Cz0tuDiY8C3ctxq1tqvaCgkFb8cCA/edit#gid=346597447"",""นครพนม!L560"")"),0)</f>
        <v>0</v>
      </c>
      <c r="M665" s="571"/>
      <c r="N665" s="588">
        <f ca="1">IFERROR(__xludf.DUMMYFUNCTION("IMPORTRANGE(""https://docs.google.com/spreadsheets/d/1XL5vhW3sbDhbH9Cz0tuDiY8C3ctxq1tqvaCgkFb8cCA/edit#gid=346597447"",""นครพนม!M560"")"),0)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IFERROR(__xludf.DUMMYFUNCTION("IMPORTRANGE(""https://docs.google.com/spreadsheets/d/1XL5vhW3sbDhbH9Cz0tuDiY8C3ctxq1tqvaCgkFb8cCA/edit#gid=346597447"",""นครพนม!J561"")"),0)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IFERROR(__xludf.DUMMYFUNCTION("IMPORTRANGE(""https://docs.google.com/spreadsheets/d/1XL5vhW3sbDhbH9Cz0tuDiY8C3ctxq1tqvaCgkFb8cCA/edit#gid=346597447"",""นครพนม!J562"")"),0)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IFERROR(__xludf.DUMMYFUNCTION("IMPORTRANGE(""https://docs.google.com/spreadsheets/d/1XL5vhW3sbDhbH9Cz0tuDiY8C3ctxq1tqvaCgkFb8cCA/edit#gid=346597447"",""นครพนม!I563"")"),0)</f>
        <v>0</v>
      </c>
      <c r="J668" s="586">
        <f ca="1">IFERROR(__xludf.DUMMYFUNCTION("IMPORTRANGE(""https://docs.google.com/spreadsheets/d/1XL5vhW3sbDhbH9Cz0tuDiY8C3ctxq1tqvaCgkFb8cCA/edit#gid=346597447"",""นครพนม!J563"")"),0)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IFERROR(__xludf.DUMMYFUNCTION("IMPORTRANGE(""https://docs.google.com/spreadsheets/d/1XL5vhW3sbDhbH9Cz0tuDiY8C3ctxq1tqvaCgkFb8cCA/edit#gid=346597447"",""นครพนม!L563"")"),0)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IFERROR(__xludf.DUMMYFUNCTION("IMPORTRANGE(""https://docs.google.com/spreadsheets/d/1XL5vhW3sbDhbH9Cz0tuDiY8C3ctxq1tqvaCgkFb8cCA/edit#gid=346597447"",""นครพนม!M563"")"),0)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IFERROR(__xludf.DUMMYFUNCTION("IMPORTRANGE(""https://docs.google.com/spreadsheets/d/1XL5vhW3sbDhbH9Cz0tuDiY8C3ctxq1tqvaCgkFb8cCA/edit#gid=346597447"",""นครพนม!J564"")"),0)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IFERROR(__xludf.DUMMYFUNCTION("IMPORTRANGE(""https://docs.google.com/spreadsheets/d/1XL5vhW3sbDhbH9Cz0tuDiY8C3ctxq1tqvaCgkFb8cCA/edit#gid=346597447"",""นครพนม!J565"")"),0)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IFERROR(__xludf.DUMMYFUNCTION("IMPORTRANGE(""https://docs.google.com/spreadsheets/d/1XL5vhW3sbDhbH9Cz0tuDiY8C3ctxq1tqvaCgkFb8cCA/edit#gid=346597447"",""นครพนม!I566"")"),0)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IFERROR(__xludf.DUMMYFUNCTION("IMPORTRANGE(""https://docs.google.com/spreadsheets/d/1XL5vhW3sbDhbH9Cz0tuDiY8C3ctxq1tqvaCgkFb8cCA/edit#gid=346597447"",""นครพนม!L566"")"),0)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IFERROR(__xludf.DUMMYFUNCTION("IMPORTRANGE(""https://docs.google.com/spreadsheets/d/1XL5vhW3sbDhbH9Cz0tuDiY8C3ctxq1tqvaCgkFb8cCA/edit#gid=346597447"",""นครพนม!M566"")"),0)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IFERROR(__xludf.DUMMYFUNCTION("IMPORTRANGE(""https://docs.google.com/spreadsheets/d/1XL5vhW3sbDhbH9Cz0tuDiY8C3ctxq1tqvaCgkFb8cCA/edit#gid=346597447"",""นครพนม!J567"")"),0)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IFERROR(__xludf.DUMMYFUNCTION("IMPORTRANGE(""https://docs.google.com/spreadsheets/d/1XL5vhW3sbDhbH9Cz0tuDiY8C3ctxq1tqvaCgkFb8cCA/edit#gid=346597447"",""นครพนม!J568"")"),0)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IFERROR(__xludf.DUMMYFUNCTION("IMPORTRANGE(""https://docs.google.com/spreadsheets/d/1XL5vhW3sbDhbH9Cz0tuDiY8C3ctxq1tqvaCgkFb8cCA/edit#gid=346597447"",""นครพนม!J569"")"),0)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IFERROR(__xludf.DUMMYFUNCTION("IMPORTRANGE(""https://docs.google.com/spreadsheets/d/1XL5vhW3sbDhbH9Cz0tuDiY8C3ctxq1tqvaCgkFb8cCA/edit#gid=346597447"",""นครพนม!J570"")"),0)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IFERROR(__xludf.DUMMYFUNCTION("IMPORTRANGE(""https://docs.google.com/spreadsheets/d/1XL5vhW3sbDhbH9Cz0tuDiY8C3ctxq1tqvaCgkFb8cCA/edit#gid=346597447"",""นครพนม!J571"")"),0)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IFERROR(__xludf.DUMMYFUNCTION("IMPORTRANGE(""https://docs.google.com/spreadsheets/d/1XL5vhW3sbDhbH9Cz0tuDiY8C3ctxq1tqvaCgkFb8cCA/edit#gid=346597447"",""นครพนม!J572"")"),0)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10607306</v>
      </c>
      <c r="M8" s="23">
        <f t="shared" ca="1" si="0"/>
        <v>6358584.7400000002</v>
      </c>
      <c r="N8" s="23">
        <f t="shared" ca="1" si="0"/>
        <v>9424503.5700000003</v>
      </c>
      <c r="O8" s="22">
        <f t="shared" ref="O8:O16" ca="1" si="1">IF(L8&gt;0,N8*100/L8,0)</f>
        <v>88.849172164921043</v>
      </c>
      <c r="P8" s="22">
        <f t="shared" ref="P8:P16" ca="1" si="2">IF(M8&gt;0,N8*100/M8,0)</f>
        <v>148.21700040754666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10607306</v>
      </c>
      <c r="M10" s="30">
        <f t="shared" ca="1" si="4"/>
        <v>6358584.7400000002</v>
      </c>
      <c r="N10" s="30">
        <f t="shared" ca="1" si="4"/>
        <v>9424503.5700000003</v>
      </c>
      <c r="O10" s="29">
        <f t="shared" ca="1" si="1"/>
        <v>88.849172164921043</v>
      </c>
      <c r="P10" s="29">
        <f t="shared" ca="1" si="2"/>
        <v>148.21700040754666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10374506</v>
      </c>
      <c r="M12" s="38">
        <f t="shared" ca="1" si="6"/>
        <v>6125784.7400000002</v>
      </c>
      <c r="N12" s="38">
        <f t="shared" ca="1" si="6"/>
        <v>9191703.5700000003</v>
      </c>
      <c r="O12" s="38">
        <f t="shared" ca="1" si="1"/>
        <v>88.598951795873461</v>
      </c>
      <c r="P12" s="38">
        <f t="shared" ca="1" si="2"/>
        <v>150.04940526199422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7549206</v>
      </c>
      <c r="M14" s="38">
        <f t="shared" si="8"/>
        <v>0</v>
      </c>
      <c r="N14" s="38">
        <f t="shared" ca="1" si="8"/>
        <v>3672251.3699999996</v>
      </c>
      <c r="O14" s="38">
        <f t="shared" ca="1" si="1"/>
        <v>48.644206688756398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6358584.7400000002</v>
      </c>
      <c r="N18" s="23">
        <f t="shared" ca="1" si="11"/>
        <v>5752252.2000000002</v>
      </c>
      <c r="O18" s="22">
        <f t="shared" ref="O18:O20" ca="1" si="12">IF(L18&gt;0,N18*100/L18,0)</f>
        <v>94.931287581165421</v>
      </c>
      <c r="P18" s="22">
        <f t="shared" ref="P18:P26" ca="1" si="13">IF(M18&gt;0,N18*100/M18,0)</f>
        <v>90.464347574299993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6358584.7400000002</v>
      </c>
      <c r="N20" s="30">
        <f t="shared" ca="1" si="15"/>
        <v>5752252.2000000002</v>
      </c>
      <c r="O20" s="29">
        <f t="shared" ca="1" si="12"/>
        <v>94.931287581165421</v>
      </c>
      <c r="P20" s="29">
        <f t="shared" ca="1" si="13"/>
        <v>90.464347574299993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6125784.7400000002</v>
      </c>
      <c r="N22" s="38">
        <f t="shared" ca="1" si="18"/>
        <v>5519452.2000000002</v>
      </c>
      <c r="O22" s="38">
        <f t="shared" ca="1" si="17"/>
        <v>94.72876822358208</v>
      </c>
      <c r="P22" s="38">
        <f t="shared" ca="1" si="13"/>
        <v>90.101961369279195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4547921</v>
      </c>
      <c r="M28" s="23">
        <f t="shared" si="23"/>
        <v>0</v>
      </c>
      <c r="N28" s="23">
        <f t="shared" ca="1" si="23"/>
        <v>3672251.3699999996</v>
      </c>
      <c r="O28" s="22">
        <f t="shared" ref="O28:O30" ca="1" si="24">IF(L28&gt;0,N28*100/L28,0)</f>
        <v>80.745715899638526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4547921</v>
      </c>
      <c r="M30" s="30">
        <f t="shared" si="27"/>
        <v>0</v>
      </c>
      <c r="N30" s="30">
        <f t="shared" ca="1" si="27"/>
        <v>3672251.3699999996</v>
      </c>
      <c r="O30" s="29">
        <f t="shared" ca="1" si="24"/>
        <v>80.745715899638526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4547921</v>
      </c>
      <c r="M32" s="38">
        <f t="shared" si="30"/>
        <v>0</v>
      </c>
      <c r="N32" s="38">
        <f t="shared" ca="1" si="30"/>
        <v>3672251.3699999996</v>
      </c>
      <c r="O32" s="38">
        <f t="shared" ca="1" si="29"/>
        <v>80.745715899638526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4547921</v>
      </c>
      <c r="M34" s="38">
        <f t="shared" si="32"/>
        <v>0</v>
      </c>
      <c r="N34" s="38">
        <f t="shared" ca="1" si="32"/>
        <v>3672251.3699999996</v>
      </c>
      <c r="O34" s="38">
        <f t="shared" ca="1" si="29"/>
        <v>80.745715899638526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6358584.7400000002</v>
      </c>
      <c r="N37" s="54">
        <f t="shared" ca="1" si="33"/>
        <v>5752252.1999999993</v>
      </c>
      <c r="O37" s="55">
        <f t="shared" ca="1" si="29"/>
        <v>94.931287581165392</v>
      </c>
      <c r="P37" s="55">
        <f t="shared" ca="1" si="25"/>
        <v>90.464347574299978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1198020</v>
      </c>
      <c r="N41" s="78">
        <f t="shared" ca="1" si="34"/>
        <v>1180329.06</v>
      </c>
      <c r="O41" s="77">
        <f t="shared" ref="O41:O43" ca="1" si="35">IF(L41&gt;0,N41*100/L41,0)</f>
        <v>102.45022654283483</v>
      </c>
      <c r="P41" s="77">
        <f t="shared" ref="P41:P43" ca="1" si="36">IF(M41&gt;0,N41*100/M41,0)</f>
        <v>98.523318475484544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1198020</v>
      </c>
      <c r="N43" s="78">
        <f t="shared" ca="1" si="38"/>
        <v>1180329.06</v>
      </c>
      <c r="O43" s="77">
        <f t="shared" ca="1" si="35"/>
        <v>102.45022654283483</v>
      </c>
      <c r="P43" s="77">
        <f t="shared" ca="1" si="36"/>
        <v>98.523318475484544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IFERROR(__xludf.DUMMYFUNCTION("IMPORTRANGE(""https://docs.google.com/spreadsheets/d/1Yj_ptqi66GCucihVvJfMjLAmec39IyEx_6qawtMGysU/edit?usp=sharing"",""สบก!Q42"")"),1150020)</f>
        <v>1150020</v>
      </c>
      <c r="N45" s="49">
        <f ca="1">IFERROR(__xludf.DUMMYFUNCTION("IMPORTRANGE(""https://docs.google.com/spreadsheets/d/1Yj_ptqi66GCucihVvJfMjLAmec39IyEx_6qawtMGysU/edit?usp=sharing"",""สบก!R42"")"),1132329.06)</f>
        <v>1132329.06</v>
      </c>
      <c r="O45" s="38">
        <f ca="1">IF(L45&gt;0,N45*100/L45,0)</f>
        <v>102.55674848292728</v>
      </c>
      <c r="P45" s="38">
        <f ca="1">IF(M45&gt;0,N45*100/M45,0)</f>
        <v>98.461684144623575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771759.74</v>
      </c>
      <c r="N53" s="121">
        <f t="shared" ca="1" si="39"/>
        <v>766855.74</v>
      </c>
      <c r="O53" s="120">
        <f t="shared" ref="O53:O55" ca="1" si="40">IF(L53&gt;0,N53*100/L53,0)</f>
        <v>130.95214139344262</v>
      </c>
      <c r="P53" s="120">
        <f t="shared" ref="P53:P55" ca="1" si="41">IF(M53&gt;0,N53*100/M53,0)</f>
        <v>99.364569082082468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771759.74</v>
      </c>
      <c r="N55" s="121">
        <f t="shared" ca="1" si="43"/>
        <v>766855.74</v>
      </c>
      <c r="O55" s="120">
        <f t="shared" ca="1" si="40"/>
        <v>130.95214139344262</v>
      </c>
      <c r="P55" s="120">
        <f t="shared" ca="1" si="41"/>
        <v>99.364569082082468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IFERROR(__xludf.DUMMYFUNCTION("IMPORTRANGE(""https://docs.google.com/spreadsheets/d/1Yj_ptqi66GCucihVvJfMjLAmec39IyEx_6qawtMGysU/edit?usp=sharing"",""สบก!Z42"")"),771759.74)</f>
        <v>771759.74</v>
      </c>
      <c r="N57" s="49">
        <f ca="1">IFERROR(__xludf.DUMMYFUNCTION("IMPORTRANGE(""https://docs.google.com/spreadsheets/d/1Yj_ptqi66GCucihVvJfMjLAmec39IyEx_6qawtMGysU/edit?usp=sharing"",""สบก!AA42"")"),766855.74)</f>
        <v>766855.74</v>
      </c>
      <c r="O57" s="38">
        <f ca="1">IF(L57&gt;0,N57*100/L57,0)</f>
        <v>130.95214139344262</v>
      </c>
      <c r="P57" s="38">
        <f ca="1">IF(M57&gt;0,N57*100/M57,0)</f>
        <v>99.364569082082468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315290</v>
      </c>
      <c r="O94" s="151">
        <f t="shared" ref="O94:O96" ca="1" si="53">IF(L94&gt;0,N94*100/L94,0)</f>
        <v>99.529642022854972</v>
      </c>
      <c r="P94" s="151">
        <f t="shared" ref="P94:P96" ca="1" si="54">IF(M94&gt;0,N94*100/M94,0)</f>
        <v>99.529642022854972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315290</v>
      </c>
      <c r="O96" s="156">
        <f t="shared" ca="1" si="53"/>
        <v>99.529642022854972</v>
      </c>
      <c r="P96" s="156">
        <f t="shared" ca="1" si="54"/>
        <v>99.529642022854972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IFERROR(__xludf.DUMMYFUNCTION("IMPORTRANGE(""https://docs.google.com/spreadsheets/d/1Yj_ptqi66GCucihVvJfMjLAmec39IyEx_6qawtMGysU/edit?usp=sharing"",""สบก!AR42"")"),131980)</f>
        <v>131980</v>
      </c>
      <c r="N98" s="169">
        <f ca="1">IFERROR(__xludf.DUMMYFUNCTION("IMPORTRANGE(""https://docs.google.com/spreadsheets/d/1Yj_ptqi66GCucihVvJfMjLAmec39IyEx_6qawtMGysU/edit?usp=sharing"",""สบก!AS42"")"),130490)</f>
        <v>130490</v>
      </c>
      <c r="O98" s="169">
        <f ca="1">IF(L98&gt;0,N98*100/L98,0)</f>
        <v>98.871041066828312</v>
      </c>
      <c r="P98" s="169">
        <f ca="1">IF(M98&gt;0,N98*100/M98,0)</f>
        <v>98.871041066828312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IFERROR(__xludf.DUMMYFUNCTION("IMPORTRANGE(""https://docs.google.com/spreadsheets/d/1Yj_ptqi66GCucihVvJfMjLAmec39IyEx_6qawtMGysU/edit?usp=sharing"",""สบก!AO42"")"),131980)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589600</v>
      </c>
      <c r="M140" s="152">
        <f t="shared" ca="1" si="64"/>
        <v>597600</v>
      </c>
      <c r="N140" s="152">
        <f t="shared" ca="1" si="64"/>
        <v>536444.68999999994</v>
      </c>
      <c r="O140" s="151">
        <f t="shared" ref="O140:O142" ca="1" si="65">IF(L140&gt;0,N140*100/L140,0)</f>
        <v>90.984513229307993</v>
      </c>
      <c r="P140" s="151">
        <f t="shared" ref="P140:P142" ca="1" si="66">IF(M140&gt;0,N140*100/M140,0)</f>
        <v>89.766514390896916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589600</v>
      </c>
      <c r="M142" s="157">
        <f t="shared" ca="1" si="68"/>
        <v>597600</v>
      </c>
      <c r="N142" s="157">
        <f t="shared" ca="1" si="68"/>
        <v>536444.68999999994</v>
      </c>
      <c r="O142" s="156">
        <f t="shared" ca="1" si="65"/>
        <v>90.984513229307993</v>
      </c>
      <c r="P142" s="156">
        <f t="shared" ca="1" si="66"/>
        <v>89.766514390896916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589600</v>
      </c>
      <c r="M144" s="168">
        <f ca="1">IFERROR(__xludf.DUMMYFUNCTION("IMPORTRANGE(""https://docs.google.com/spreadsheets/d/1Yj_ptqi66GCucihVvJfMjLAmec39IyEx_6qawtMGysU/edit?usp=sharing"",""สบก!BJ42"")"),597600)</f>
        <v>597600</v>
      </c>
      <c r="N144" s="169">
        <f ca="1">IFERROR(__xludf.DUMMYFUNCTION("IMPORTRANGE(""https://docs.google.com/spreadsheets/d/1Yj_ptqi66GCucihVvJfMjLAmec39IyEx_6qawtMGysU/edit?usp=sharing"",""สบก!BK42"")"),536444.69)</f>
        <v>536444.68999999994</v>
      </c>
      <c r="O144" s="169">
        <f ca="1">IF(L144&gt;0,N144*100/L144,0)</f>
        <v>90.984513229307993</v>
      </c>
      <c r="P144" s="169">
        <f ca="1">IF(M144&gt;0,N144*100/M144,0)</f>
        <v>89.766514390896916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IFERROR(__xludf.DUMMYFUNCTION("IMPORTRANGE(""https://docs.google.com/spreadsheets/d/1Yj_ptqi66GCucihVvJfMjLAmec39IyEx_6qawtMGysU/edit?usp=sharing"",""สบก!BG42"")"),120000)</f>
        <v>120000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IFERROR(__xludf.DUMMYFUNCTION("IMPORTRANGE(""https://docs.google.com/spreadsheets/d/1XL5vhW3sbDhbH9Cz0tuDiY8C3ctxq1tqvaCgkFb8cCA/edit?usp=sharing"",""นครราชสีมา!J84"")"),106)</f>
        <v>106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IFERROR(__xludf.DUMMYFUNCTION("IMPORTRANGE(""https://docs.google.com/spreadsheets/d/1XL5vhW3sbDhbH9Cz0tuDiY8C3ctxq1tqvaCgkFb8cCA/edit?usp=sharing"",""นครราชสีมา!J85"")"),106)</f>
        <v>106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IFERROR(__xludf.DUMMYFUNCTION("IMPORTRANGE(""https://docs.google.com/spreadsheets/d/1XL5vhW3sbDhbH9Cz0tuDiY8C3ctxq1tqvaCgkFb8cCA/edit?usp=sharing"",""นครราชสีมา!I89"")"),5)</f>
        <v>5</v>
      </c>
      <c r="J164" s="285">
        <f ca="1">IFERROR(__xludf.DUMMYFUNCTION("IMPORTRANGE(""https://docs.google.com/spreadsheets/d/1XL5vhW3sbDhbH9Cz0tuDiY8C3ctxq1tqvaCgkFb8cCA/edit?usp=sharing"",""นครราชสีมา!J89"")"),5)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IFERROR(__xludf.DUMMYFUNCTION("IMPORTRANGE(""https://docs.google.com/spreadsheets/d/1XL5vhW3sbDhbH9Cz0tuDiY8C3ctxq1tqvaCgkFb8cCA/edit?usp=sharing"",""นครราชสีมา!J100"")"),0)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IFERROR(__xludf.DUMMYFUNCTION("IMPORTRANGE(""https://docs.google.com/spreadsheets/d/1XL5vhW3sbDhbH9Cz0tuDiY8C3ctxq1tqvaCgkFb8cCA/edit?usp=sharing"",""นครราชสีมา!I101"")"),0)</f>
        <v>0</v>
      </c>
      <c r="J176" s="285">
        <f ca="1">IFERROR(__xludf.DUMMYFUNCTION("IMPORTRANGE(""https://docs.google.com/spreadsheets/d/1XL5vhW3sbDhbH9Cz0tuDiY8C3ctxq1tqvaCgkFb8cCA/edit?usp=sharing"",""นครราชสีมา!J101"")"),0)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IFERROR(__xludf.DUMMYFUNCTION("IMPORTRANGE(""https://docs.google.com/spreadsheets/d/1XL5vhW3sbDhbH9Cz0tuDiY8C3ctxq1tqvaCgkFb8cCA/edit?usp=sharing"",""นครราชสีมา!I114"")"),70000)</f>
        <v>70000</v>
      </c>
      <c r="J189" s="285">
        <f ca="1">IFERROR(__xludf.DUMMYFUNCTION("IMPORTRANGE(""https://docs.google.com/spreadsheets/d/1XL5vhW3sbDhbH9Cz0tuDiY8C3ctxq1tqvaCgkFb8cCA/edit?usp=sharing"",""นครราชสีมา!J114"")"),70000)</f>
        <v>70000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IFERROR(__xludf.DUMMYFUNCTION("IMPORTRANGE(""https://docs.google.com/spreadsheets/d/1XL5vhW3sbDhbH9Cz0tuDiY8C3ctxq1tqvaCgkFb8cCA/edit?usp=sharing"",""นครราชสีมา!J124"")"),70000)</f>
        <v>70000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IFERROR(__xludf.DUMMYFUNCTION("IMPORTRANGE(""https://docs.google.com/spreadsheets/d/1XL5vhW3sbDhbH9Cz0tuDiY8C3ctxq1tqvaCgkFb8cCA/edit?usp=sharing"",""นครราชสีมา!J125"")"),70000)</f>
        <v>70000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IFERROR(__xludf.DUMMYFUNCTION("IMPORTRANGE(""https://docs.google.com/spreadsheets/d/1XL5vhW3sbDhbH9Cz0tuDiY8C3ctxq1tqvaCgkFb8cCA/edit?usp=sharing"",""นครราชสีมา!J128"")"),0)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IFERROR(__xludf.DUMMYFUNCTION("IMPORTRANGE(""https://docs.google.com/spreadsheets/d/1XL5vhW3sbDhbH9Cz0tuDiY8C3ctxq1tqvaCgkFb8cCA/edit?usp=sharing"",""นครราชสีมา!I129"")"),0)</f>
        <v>0</v>
      </c>
      <c r="J204" s="285">
        <f ca="1">IFERROR(__xludf.DUMMYFUNCTION("IMPORTRANGE(""https://docs.google.com/spreadsheets/d/1XL5vhW3sbDhbH9Cz0tuDiY8C3ctxq1tqvaCgkFb8cCA/edit?usp=sharing"",""นครราชสีมา!J129"")"),0)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279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IFERROR(__xludf.DUMMYFUNCTION("IMPORTRANGE(""https://docs.google.com/spreadsheets/d/1Yj_ptqi66GCucihVvJfMjLAmec39IyEx_6qawtMGysU/edit?usp=sharing"",""สบก!BS42"")"),21125)</f>
        <v>21125</v>
      </c>
      <c r="N224" s="169">
        <f ca="1">IFERROR(__xludf.DUMMYFUNCTION("IMPORTRANGE(""https://docs.google.com/spreadsheets/d/1Yj_ptqi66GCucihVvJfMjLAmec39IyEx_6qawtMGysU/edit?usp=sharing"",""สบก!BT42"")"),21125)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IFERROR(__xludf.DUMMYFUNCTION("IMPORTRANGE(""https://docs.google.com/spreadsheets/d/1XL5vhW3sbDhbH9Cz0tuDiY8C3ctxq1tqvaCgkFb8cCA/edit?usp=sharing"",""นครราชสีมา!I169"")"),50)</f>
        <v>50</v>
      </c>
      <c r="J249" s="317">
        <f ca="1">IFERROR(__xludf.DUMMYFUNCTION("IMPORTRANGE(""https://docs.google.com/spreadsheets/d/1XL5vhW3sbDhbH9Cz0tuDiY8C3ctxq1tqvaCgkFb8cCA/edit?usp=sharing"",""นครราชสีมา!J169"")"),50)</f>
        <v>50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292100</v>
      </c>
      <c r="N250" s="152">
        <f t="shared" ca="1" si="77"/>
        <v>292028.55</v>
      </c>
      <c r="O250" s="151">
        <f t="shared" ref="O250:O252" ca="1" si="78">IF(L250&gt;0,N250*100/L250,0)</f>
        <v>99.975539198904485</v>
      </c>
      <c r="P250" s="151">
        <f t="shared" ref="P250:P252" ca="1" si="79">IF(M250&gt;0,N250*100/M250,0)</f>
        <v>99.975539198904485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292100</v>
      </c>
      <c r="N252" s="157">
        <f t="shared" ca="1" si="81"/>
        <v>292028.55</v>
      </c>
      <c r="O252" s="156">
        <f t="shared" ca="1" si="78"/>
        <v>99.975539198904485</v>
      </c>
      <c r="P252" s="156">
        <f t="shared" ca="1" si="79"/>
        <v>99.975539198904485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IFERROR(__xludf.DUMMYFUNCTION("IMPORTRANGE(""https://docs.google.com/spreadsheets/d/1Yj_ptqi66GCucihVvJfMjLAmec39IyEx_6qawtMGysU/edit?usp=sharing"",""สบก!CB42"")"),292100)</f>
        <v>292100</v>
      </c>
      <c r="N254" s="169">
        <f ca="1">IFERROR(__xludf.DUMMYFUNCTION("IMPORTRANGE(""https://docs.google.com/spreadsheets/d/1Yj_ptqi66GCucihVvJfMjLAmec39IyEx_6qawtMGysU/edit?usp=sharing"",""สบก!CC42"")"),292028.55)</f>
        <v>292028.55</v>
      </c>
      <c r="O254" s="169">
        <f ca="1">IF(L254&gt;0,N254*100/L254,0)</f>
        <v>99.975539198904485</v>
      </c>
      <c r="P254" s="169">
        <f ca="1">IF(M254&gt;0,N254*100/M254,0)</f>
        <v>99.975539198904485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IFERROR(__xludf.DUMMYFUNCTION("IMPORTRANGE(""https://docs.google.com/spreadsheets/d/1XL5vhW3sbDhbH9Cz0tuDiY8C3ctxq1tqvaCgkFb8cCA/edit?usp=sharing"",""นครราชสีมา!J181"")"),50)</f>
        <v>50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IFERROR(__xludf.DUMMYFUNCTION("IMPORTRANGE(""https://docs.google.com/spreadsheets/d/1XL5vhW3sbDhbH9Cz0tuDiY8C3ctxq1tqvaCgkFb8cCA/edit?usp=sharing"",""นครราชสีมา!J182"")"),2)</f>
        <v>2</v>
      </c>
      <c r="K267" s="163">
        <f t="shared" ca="1" si="82"/>
        <v>200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IFERROR(__xludf.DUMMYFUNCTION("IMPORTRANGE(""https://docs.google.com/spreadsheets/d/1XL5vhW3sbDhbH9Cz0tuDiY8C3ctxq1tqvaCgkFb8cCA/edit?usp=sharing"",""นครราชสีมา!J184"")"),0)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IFERROR(__xludf.DUMMYFUNCTION("IMPORTRANGE(""https://docs.google.com/spreadsheets/d/1XL5vhW3sbDhbH9Cz0tuDiY8C3ctxq1tqvaCgkFb8cCA/edit?usp=sharing"",""นครราชสีมา!I185"")"),20)</f>
        <v>20</v>
      </c>
      <c r="J270" s="317">
        <f ca="1">IFERROR(__xludf.DUMMYFUNCTION("IMPORTRANGE(""https://docs.google.com/spreadsheets/d/1XL5vhW3sbDhbH9Cz0tuDiY8C3ctxq1tqvaCgkFb8cCA/edit?usp=sharing"",""นครราชสีมา!J185"")"),20)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73600</v>
      </c>
      <c r="M271" s="152">
        <f t="shared" ca="1" si="83"/>
        <v>81720</v>
      </c>
      <c r="N271" s="152">
        <f t="shared" ca="1" si="83"/>
        <v>73600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90.063631913852177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73600</v>
      </c>
      <c r="M273" s="157">
        <f t="shared" ca="1" si="87"/>
        <v>81720</v>
      </c>
      <c r="N273" s="157">
        <f t="shared" ca="1" si="87"/>
        <v>73600</v>
      </c>
      <c r="O273" s="156">
        <f t="shared" ca="1" si="84"/>
        <v>100</v>
      </c>
      <c r="P273" s="156">
        <f t="shared" ca="1" si="85"/>
        <v>90.063631913852177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73600</v>
      </c>
      <c r="M275" s="168">
        <f ca="1">IFERROR(__xludf.DUMMYFUNCTION("IMPORTRANGE(""https://docs.google.com/spreadsheets/d/1Yj_ptqi66GCucihVvJfMjLAmec39IyEx_6qawtMGysU/edit?usp=sharing"",""สบก!CK42"")"),81720)</f>
        <v>81720</v>
      </c>
      <c r="N275" s="169">
        <f ca="1">IFERROR(__xludf.DUMMYFUNCTION("IMPORTRANGE(""https://docs.google.com/spreadsheets/d/1Yj_ptqi66GCucihVvJfMjLAmec39IyEx_6qawtMGysU/edit?usp=sharing"",""สบก!CL42"")"),73600)</f>
        <v>73600</v>
      </c>
      <c r="O275" s="169">
        <f ca="1">IF(L275&gt;0,N275*100/L275,0)</f>
        <v>100</v>
      </c>
      <c r="P275" s="169">
        <f ca="1">IF(M275&gt;0,N275*100/M275,0)</f>
        <v>90.063631913852177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IFERROR(__xludf.DUMMYFUNCTION("IMPORTRANGE(""https://docs.google.com/spreadsheets/d/1Yj_ptqi66GCucihVvJfMjLAmec39IyEx_6qawtMGysU/edit?usp=sharing"",""สบก!CH42"")"),73600)</f>
        <v>73600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IFERROR(__xludf.DUMMYFUNCTION("IMPORTRANGE(""https://docs.google.com/spreadsheets/d/1XL5vhW3sbDhbH9Cz0tuDiY8C3ctxq1tqvaCgkFb8cCA/edit?usp=sharing"",""นครราชสีมา!J197"")"),0)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IFERROR(__xludf.DUMMYFUNCTION("IMPORTRANGE(""https://docs.google.com/spreadsheets/d/1XL5vhW3sbDhbH9Cz0tuDiY8C3ctxq1tqvaCgkFb8cCA/edit?usp=sharing"",""นครราชสีมา!I199"")"),20)</f>
        <v>20</v>
      </c>
      <c r="J289" s="317">
        <f ca="1">IFERROR(__xludf.DUMMYFUNCTION("IMPORTRANGE(""https://docs.google.com/spreadsheets/d/1XL5vhW3sbDhbH9Cz0tuDiY8C3ctxq1tqvaCgkFb8cCA/edit?usp=sharing"",""นครราชสีมา!J199"")"),20)</f>
        <v>20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74920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74920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74920</v>
      </c>
      <c r="M294" s="168">
        <f ca="1">IFERROR(__xludf.DUMMYFUNCTION("IMPORTRANGE(""https://docs.google.com/spreadsheets/d/1Yj_ptqi66GCucihVvJfMjLAmec39IyEx_6qawtMGysU/edit?usp=sharing"",""สบก!CT42"")"),74920)</f>
        <v>74920</v>
      </c>
      <c r="N294" s="169">
        <f ca="1">IFERROR(__xludf.DUMMYFUNCTION("IMPORTRANGE(""https://docs.google.com/spreadsheets/d/1Yj_ptqi66GCucihVvJfMjLAmec39IyEx_6qawtMGysU/edit?usp=sharing"",""สบก!CU42"")"),74920)</f>
        <v>74920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IFERROR(__xludf.DUMMYFUNCTION("IMPORTRANGE(""https://docs.google.com/spreadsheets/d/1Yj_ptqi66GCucihVvJfMjLAmec39IyEx_6qawtMGysU/edit?usp=sharing"",""สบก!CQ42"")"),74920)</f>
        <v>74920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IFERROR(__xludf.DUMMYFUNCTION("IMPORTRANGE(""https://docs.google.com/spreadsheets/d/1XL5vhW3sbDhbH9Cz0tuDiY8C3ctxq1tqvaCgkFb8cCA/edit?usp=sharing"",""นครราชสีมา!J211"")"),20)</f>
        <v>20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IFERROR(__xludf.DUMMYFUNCTION("IMPORTRANGE(""https://docs.google.com/spreadsheets/d/1XL5vhW3sbDhbH9Cz0tuDiY8C3ctxq1tqvaCgkFb8cCA/edit?usp=sharing"",""นครราชสีมา!J213"")"),1)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IFERROR(__xludf.DUMMYFUNCTION("IMPORTRANGE(""https://docs.google.com/spreadsheets/d/1XL5vhW3sbDhbH9Cz0tuDiY8C3ctxq1tqvaCgkFb8cCA/edit?usp=sharing"",""นครราชสีมา!I214"")"),2)</f>
        <v>2</v>
      </c>
      <c r="J309" s="334">
        <f ca="1">IFERROR(__xludf.DUMMYFUNCTION("IMPORTRANGE(""https://docs.google.com/spreadsheets/d/1XL5vhW3sbDhbH9Cz0tuDiY8C3ctxq1tqvaCgkFb8cCA/edit?usp=sharing"",""นครราชสีมา!J214"")"),2)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447600</v>
      </c>
      <c r="M310" s="152">
        <f t="shared" ca="1" si="93"/>
        <v>447600</v>
      </c>
      <c r="N310" s="152">
        <f t="shared" ca="1" si="93"/>
        <v>334947.06</v>
      </c>
      <c r="O310" s="151">
        <f t="shared" ref="O310:O312" ca="1" si="94">IF(L310&gt;0,N310*100/L310,0)</f>
        <v>74.831782841823056</v>
      </c>
      <c r="P310" s="151">
        <f t="shared" ref="P310:P312" ca="1" si="95">IF(M310&gt;0,N310*100/M310,0)</f>
        <v>74.831782841823056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447600</v>
      </c>
      <c r="M312" s="157">
        <f t="shared" ca="1" si="97"/>
        <v>447600</v>
      </c>
      <c r="N312" s="157">
        <f t="shared" ca="1" si="97"/>
        <v>334947.06</v>
      </c>
      <c r="O312" s="156">
        <f t="shared" ca="1" si="94"/>
        <v>74.831782841823056</v>
      </c>
      <c r="P312" s="156">
        <f t="shared" ca="1" si="95"/>
        <v>74.831782841823056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IFERROR(__xludf.DUMMYFUNCTION("IMPORTRANGE(""https://docs.google.com/spreadsheets/d/1Yj_ptqi66GCucihVvJfMjLAmec39IyEx_6qawtMGysU/edit?usp=sharing"",""สบก!DC42"")"),447600)</f>
        <v>447600</v>
      </c>
      <c r="N314" s="169">
        <f ca="1">IFERROR(__xludf.DUMMYFUNCTION("IMPORTRANGE(""https://docs.google.com/spreadsheets/d/1Yj_ptqi66GCucihVvJfMjLAmec39IyEx_6qawtMGysU/edit?usp=sharing"",""สบก!DD42"")"),334947.06)</f>
        <v>334947.06</v>
      </c>
      <c r="O314" s="169">
        <f ca="1">IF(L314&gt;0,N314*100/L314,0)</f>
        <v>74.831782841823056</v>
      </c>
      <c r="P314" s="169">
        <f ca="1">IF(M314&gt;0,N314*100/M314,0)</f>
        <v>74.831782841823056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IFERROR(__xludf.DUMMYFUNCTION("IMPORTRANGE(""https://docs.google.com/spreadsheets/d/1XL5vhW3sbDhbH9Cz0tuDiY8C3ctxq1tqvaCgkFb8cCA/edit?usp=sharing"",""นครราชสีมา!I228"")"),1550)</f>
        <v>1550</v>
      </c>
      <c r="J328" s="340">
        <f ca="1">IFERROR(__xludf.DUMMYFUNCTION("IMPORTRANGE(""https://docs.google.com/spreadsheets/d/1XL5vhW3sbDhbH9Cz0tuDiY8C3ctxq1tqvaCgkFb8cCA/edit?usp=sharing"",""นครราชสีมา!J228"")"),1461)</f>
        <v>1461</v>
      </c>
      <c r="K328" s="318">
        <f ca="1">IF(I328&gt;0,J328*100/I328,0)</f>
        <v>94.258064516129039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2505960</v>
      </c>
      <c r="M329" s="152">
        <f t="shared" ca="1" si="98"/>
        <v>2556960</v>
      </c>
      <c r="N329" s="152">
        <f t="shared" ca="1" si="98"/>
        <v>2156712.1</v>
      </c>
      <c r="O329" s="151">
        <f t="shared" ref="O329:O331" ca="1" si="99">IF(L329&gt;0,N329*100/L329,0)</f>
        <v>86.063309071174317</v>
      </c>
      <c r="P329" s="151">
        <f t="shared" ref="P329:P331" ca="1" si="100">IF(M329&gt;0,N329*100/M329,0)</f>
        <v>84.346728145923279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2505960</v>
      </c>
      <c r="M331" s="157">
        <f t="shared" ca="1" si="102"/>
        <v>2556960</v>
      </c>
      <c r="N331" s="157">
        <f t="shared" ca="1" si="102"/>
        <v>2156712.1</v>
      </c>
      <c r="O331" s="156">
        <f t="shared" ca="1" si="99"/>
        <v>86.063309071174317</v>
      </c>
      <c r="P331" s="156">
        <f t="shared" ca="1" si="100"/>
        <v>84.346728145923279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2505960</v>
      </c>
      <c r="M333" s="168">
        <f ca="1">IFERROR(__xludf.DUMMYFUNCTION("IMPORTRANGE(""https://docs.google.com/spreadsheets/d/1Yj_ptqi66GCucihVvJfMjLAmec39IyEx_6qawtMGysU/edit?usp=sharing"",""สบก!DL42"")"),2556960)</f>
        <v>2556960</v>
      </c>
      <c r="N333" s="169">
        <f ca="1">IFERROR(__xludf.DUMMYFUNCTION("IMPORTRANGE(""https://docs.google.com/spreadsheets/d/1Yj_ptqi66GCucihVvJfMjLAmec39IyEx_6qawtMGysU/edit?usp=sharing"",""สบก!DM42"")"),2156712.1)</f>
        <v>2156712.1</v>
      </c>
      <c r="O333" s="169">
        <f ca="1">IF(L333&gt;0,N333*100/L333,0)</f>
        <v>86.063309071174317</v>
      </c>
      <c r="P333" s="169">
        <f ca="1">IF(M333&gt;0,N333*100/M333,0)</f>
        <v>84.346728145923279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IFERROR(__xludf.DUMMYFUNCTION("IMPORTRANGE(""https://docs.google.com/spreadsheets/d/1Yj_ptqi66GCucihVvJfMjLAmec39IyEx_6qawtMGysU/edit?usp=sharing"",""สบก!DI42"")"),1839960)</f>
        <v>1839960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IFERROR(__xludf.DUMMYFUNCTION("IMPORTRANGE(""https://docs.google.com/spreadsheets/d/1XL5vhW3sbDhbH9Cz0tuDiY8C3ctxq1tqvaCgkFb8cCA/edit?usp=sharing"",""นครราชสีมา!J234"")"),1455)</f>
        <v>1455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IFERROR(__xludf.DUMMYFUNCTION("IMPORTRANGE(""https://docs.google.com/spreadsheets/d/1XL5vhW3sbDhbH9Cz0tuDiY8C3ctxq1tqvaCgkFb8cCA/edit?usp=sharing"",""นครราชสีมา!J235"")"),14618.14)</f>
        <v>14618.14</v>
      </c>
      <c r="K340" s="343">
        <f t="shared" ca="1" si="103"/>
        <v>93.706025641025647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IFERROR(__xludf.DUMMYFUNCTION("IMPORTRANGE(""https://docs.google.com/spreadsheets/d/1XL5vhW3sbDhbH9Cz0tuDiY8C3ctxq1tqvaCgkFb8cCA/edit?usp=sharing"",""นครราชสีมา!J236"")"),2189)</f>
        <v>2189</v>
      </c>
      <c r="K341" s="343">
        <f t="shared" ca="1" si="103"/>
        <v>141.2258064516129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IFERROR(__xludf.DUMMYFUNCTION("IMPORTRANGE(""https://docs.google.com/spreadsheets/d/1XL5vhW3sbDhbH9Cz0tuDiY8C3ctxq1tqvaCgkFb8cCA/edit?usp=sharing"",""นครราชสีมา!J237"")"),27049.6999999999)</f>
        <v>27049.699999999899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IFERROR(__xludf.DUMMYFUNCTION("IMPORTRANGE(""https://docs.google.com/spreadsheets/d/1XL5vhW3sbDhbH9Cz0tuDiY8C3ctxq1tqvaCgkFb8cCA/edit?usp=sharing"",""นครราชสีมา!J240"")"),1461)</f>
        <v>1461</v>
      </c>
      <c r="K345" s="343">
        <f t="shared" ca="1" si="103"/>
        <v>94.258064516129039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IFERROR(__xludf.DUMMYFUNCTION("IMPORTRANGE(""https://docs.google.com/spreadsheets/d/1XL5vhW3sbDhbH9Cz0tuDiY8C3ctxq1tqvaCgkFb8cCA/edit?usp=sharing"",""นครราชสีมา!J241"")"),19959.32)</f>
        <v>19959.32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IFERROR(__xludf.DUMMYFUNCTION("IMPORTRANGE(""https://docs.google.com/spreadsheets/d/1XL5vhW3sbDhbH9Cz0tuDiY8C3ctxq1tqvaCgkFb8cCA/edit?usp=sharing"",""นครราชสีมา!L242"")"),4547921)</f>
        <v>4547921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IFERROR(__xludf.DUMMYFUNCTION("IMPORTRANGE(""https://docs.google.com/spreadsheets/d/1XL5vhW3sbDhbH9Cz0tuDiY8C3ctxq1tqvaCgkFb8cCA/edit?usp=sharing"",""นครราชสีมา!M242"")"),3672251.36999999)</f>
        <v>3672251.3699999899</v>
      </c>
      <c r="O347" s="358">
        <f ca="1">+IF(L347&gt;0,N347*100/L347,0)</f>
        <v>80.745715899638313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IFERROR(__xludf.DUMMYFUNCTION("IMPORTRANGE(""https://docs.google.com/spreadsheets/d/1XL5vhW3sbDhbH9Cz0tuDiY8C3ctxq1tqvaCgkFb8cCA/edit?usp=sharing"",""นครราชสีมา!M244"")"),468599.92)</f>
        <v>468599.92</v>
      </c>
      <c r="O349" s="373">
        <f ca="1">+IF(L349&gt;0,N349*100/L349,0)</f>
        <v>88.548737717309152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IFERROR(__xludf.DUMMYFUNCTION("IMPORTRANGE(""https://docs.google.com/spreadsheets/d/1XL5vhW3sbDhbH9Cz0tuDiY8C3ctxq1tqvaCgkFb8cCA/edit?usp=sharing"",""นครราชสีมา!M247"")"),468599.92)</f>
        <v>468599.92</v>
      </c>
      <c r="O352" s="165">
        <f t="shared" ca="1" si="105"/>
        <v>88.548737717309152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IFERROR(__xludf.DUMMYFUNCTION("IMPORTRANGE(""https://docs.google.com/spreadsheets/d/1XL5vhW3sbDhbH9Cz0tuDiY8C3ctxq1tqvaCgkFb8cCA/edit?usp=sharing"",""นครราชสีมา!L249"")"),529200)</f>
        <v>529200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IFERROR(__xludf.DUMMYFUNCTION("IMPORTRANGE(""https://docs.google.com/spreadsheets/d/1XL5vhW3sbDhbH9Cz0tuDiY8C3ctxq1tqvaCgkFb8cCA/edit?usp=sharing"",""นครราชสีมา!M249"")"),468599.92)</f>
        <v>468599.92</v>
      </c>
      <c r="O354" s="169">
        <f t="shared" ca="1" si="105"/>
        <v>88.548737717309152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IFERROR(__xludf.DUMMYFUNCTION("IMPORTRANGE(""https://docs.google.com/spreadsheets/d/1XL5vhW3sbDhbH9Cz0tuDiY8C3ctxq1tqvaCgkFb8cCA/edit?usp=sharing"",""นครราชสีมา!M252"")"),114399.92)</f>
        <v>114399.92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IFERROR(__xludf.DUMMYFUNCTION("IMPORTRANGE(""https://docs.google.com/spreadsheets/d/1XL5vhW3sbDhbH9Cz0tuDiY8C3ctxq1tqvaCgkFb8cCA/edit?usp=sharing"",""นครราชสีมา!M253"")"),11400)</f>
        <v>11400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IFERROR(__xludf.DUMMYFUNCTION("IMPORTRANGE(""https://docs.google.com/spreadsheets/d/1XL5vhW3sbDhbH9Cz0tuDiY8C3ctxq1tqvaCgkFb8cCA/edit?usp=sharing"",""นครราชสีมา!M275"")"),677960)</f>
        <v>677960</v>
      </c>
      <c r="O380" s="373">
        <f ca="1">+IF(L380&gt;0,N380*100/L380,0)</f>
        <v>65.916073581456857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IFERROR(__xludf.DUMMYFUNCTION("IMPORTRANGE(""https://docs.google.com/spreadsheets/d/1XL5vhW3sbDhbH9Cz0tuDiY8C3ctxq1tqvaCgkFb8cCA/edit?usp=sharing"",""นครราชสีมา!M278"")"),677960)</f>
        <v>677960</v>
      </c>
      <c r="O383" s="165">
        <f t="shared" ca="1" si="109"/>
        <v>65.916073581456857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IFERROR(__xludf.DUMMYFUNCTION("IMPORTRANGE(""https://docs.google.com/spreadsheets/d/1XL5vhW3sbDhbH9Cz0tuDiY8C3ctxq1tqvaCgkFb8cCA/edit?usp=sharing"",""นครราชสีมา!M280"")"),677960)</f>
        <v>677960</v>
      </c>
      <c r="O385" s="169">
        <f t="shared" ca="1" si="109"/>
        <v>65.916073581456857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IFERROR(__xludf.DUMMYFUNCTION("IMPORTRANGE(""https://docs.google.com/spreadsheets/d/1XL5vhW3sbDhbH9Cz0tuDiY8C3ctxq1tqvaCgkFb8cCA/edit?usp=sharing"",""นครราชสีมา!M281"")"),205420)</f>
        <v>205420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IFERROR(__xludf.DUMMYFUNCTION("IMPORTRANGE(""https://docs.google.com/spreadsheets/d/1XL5vhW3sbDhbH9Cz0tuDiY8C3ctxq1tqvaCgkFb8cCA/edit?usp=sharing"",""นครราชสีมา!M282"")"),333180)</f>
        <v>333180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IFERROR(__xludf.DUMMYFUNCTION("IMPORTRANGE(""https://docs.google.com/spreadsheets/d/1XL5vhW3sbDhbH9Cz0tuDiY8C3ctxq1tqvaCgkFb8cCA/edit?usp=sharing"",""นครราชสีมา!M283"")"),106000)</f>
        <v>106000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IFERROR(__xludf.DUMMYFUNCTION("IMPORTRANGE(""https://docs.google.com/spreadsheets/d/1XL5vhW3sbDhbH9Cz0tuDiY8C3ctxq1tqvaCgkFb8cCA/edit?usp=sharing"",""นครราชสีมา!M284"")"),33360)</f>
        <v>33360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IFERROR(__xludf.DUMMYFUNCTION("IMPORTRANGE(""https://docs.google.com/spreadsheets/d/1XL5vhW3sbDhbH9Cz0tuDiY8C3ctxq1tqvaCgkFb8cCA/edit?usp=sharing"",""นครราชสีมา!M296"")"),306785)</f>
        <v>306785</v>
      </c>
      <c r="O401" s="373">
        <f ca="1">+IF(L401&gt;0,N401*100/L401,0)</f>
        <v>98.765372480844761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IFERROR(__xludf.DUMMYFUNCTION("IMPORTRANGE(""https://docs.google.com/spreadsheets/d/1XL5vhW3sbDhbH9Cz0tuDiY8C3ctxq1tqvaCgkFb8cCA/edit?usp=sharing"",""นครราชสีมา!M299"")"),306785)</f>
        <v>306785</v>
      </c>
      <c r="O404" s="169">
        <f t="shared" ca="1" si="112"/>
        <v>98.765372480844761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IFERROR(__xludf.DUMMYFUNCTION("IMPORTRANGE(""https://docs.google.com/spreadsheets/d/1XL5vhW3sbDhbH9Cz0tuDiY8C3ctxq1tqvaCgkFb8cCA/edit?usp=sharing"",""นครราชสีมา!M301"")"),306785)</f>
        <v>306785</v>
      </c>
      <c r="O406" s="169">
        <f t="shared" ca="1" si="112"/>
        <v>98.765372480844761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IFERROR(__xludf.DUMMYFUNCTION("IMPORTRANGE(""https://docs.google.com/spreadsheets/d/1XL5vhW3sbDhbH9Cz0tuDiY8C3ctxq1tqvaCgkFb8cCA/edit?usp=sharing"",""นครราชสีมา!M302"")"),182020)</f>
        <v>182020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IFERROR(__xludf.DUMMYFUNCTION("IMPORTRANGE(""https://docs.google.com/spreadsheets/d/1XL5vhW3sbDhbH9Cz0tuDiY8C3ctxq1tqvaCgkFb8cCA/edit?usp=sharing"",""นครราชสีมา!M305"")"),38765)</f>
        <v>38765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IFERROR(__xludf.DUMMYFUNCTION("IMPORTRANGE(""https://docs.google.com/spreadsheets/d/1XL5vhW3sbDhbH9Cz0tuDiY8C3ctxq1tqvaCgkFb8cCA/edit?usp=sharing"",""นครราชสีมา!L330"")"),177400)</f>
        <v>177400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IFERROR(__xludf.DUMMYFUNCTION("IMPORTRANGE(""https://docs.google.com/spreadsheets/d/1XL5vhW3sbDhbH9Cz0tuDiY8C3ctxq1tqvaCgkFb8cCA/edit?usp=sharing"",""นครราชสีมา!M330"")"),174383.23)</f>
        <v>174383.23</v>
      </c>
      <c r="O435" s="412">
        <f t="shared" ref="O435:O439" ca="1" si="114">+IF(L435&gt;0,N435*100/L435,0)</f>
        <v>98.299453213077797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IFERROR(__xludf.DUMMYFUNCTION("IMPORTRANGE(""https://docs.google.com/spreadsheets/d/1XL5vhW3sbDhbH9Cz0tuDiY8C3ctxq1tqvaCgkFb8cCA/edit?usp=sharing"",""นครราชสีมา!L332"")"),177400)</f>
        <v>177400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IFERROR(__xludf.DUMMYFUNCTION("IMPORTRANGE(""https://docs.google.com/spreadsheets/d/1XL5vhW3sbDhbH9Cz0tuDiY8C3ctxq1tqvaCgkFb8cCA/edit?usp=sharing"",""นครราชสีมา!M332"")"),174383.23)</f>
        <v>174383.23</v>
      </c>
      <c r="O437" s="169">
        <f t="shared" ca="1" si="114"/>
        <v>98.299453213077797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IFERROR(__xludf.DUMMYFUNCTION("IMPORTRANGE(""https://docs.google.com/spreadsheets/d/1XL5vhW3sbDhbH9Cz0tuDiY8C3ctxq1tqvaCgkFb8cCA/edit?usp=sharing"",""นครราชสีมา!L334"")"),177400)</f>
        <v>177400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IFERROR(__xludf.DUMMYFUNCTION("IMPORTRANGE(""https://docs.google.com/spreadsheets/d/1XL5vhW3sbDhbH9Cz0tuDiY8C3ctxq1tqvaCgkFb8cCA/edit?usp=sharing"",""นครราชสีมา!M334"")"),174383.23)</f>
        <v>174383.23</v>
      </c>
      <c r="O439" s="169">
        <f t="shared" ca="1" si="114"/>
        <v>98.299453213077797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IFERROR(__xludf.DUMMYFUNCTION("IMPORTRANGE(""https://docs.google.com/spreadsheets/d/1XL5vhW3sbDhbH9Cz0tuDiY8C3ctxq1tqvaCgkFb8cCA/edit?usp=sharing"",""นครราชสีมา!M338"")"),174383.23)</f>
        <v>174383.23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IFERROR(__xludf.DUMMYFUNCTION("IMPORTRANGE(""https://docs.google.com/spreadsheets/d/1XL5vhW3sbDhbH9Cz0tuDiY8C3ctxq1tqvaCgkFb8cCA/edit?usp=sharing"",""นครราชสีมา!J350"")"),59004)</f>
        <v>59004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IFERROR(__xludf.DUMMYFUNCTION("IMPORTRANGE(""https://docs.google.com/spreadsheets/d/1XL5vhW3sbDhbH9Cz0tuDiY8C3ctxq1tqvaCgkFb8cCA/edit?usp=sharing"",""นครราชสีมา!L350"")"),759441)</f>
        <v>759441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IFERROR(__xludf.DUMMYFUNCTION("IMPORTRANGE(""https://docs.google.com/spreadsheets/d/1XL5vhW3sbDhbH9Cz0tuDiY8C3ctxq1tqvaCgkFb8cCA/edit?usp=sharing"",""นครราชสีมา!M350"")"),574154.08)</f>
        <v>574154.07999999996</v>
      </c>
      <c r="O455" s="373">
        <f t="shared" ref="O455:O459" ca="1" si="116">+IF(L455&gt;0,N455*100/L455,0)</f>
        <v>75.602196879020212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IFERROR(__xludf.DUMMYFUNCTION("IMPORTRANGE(""https://docs.google.com/spreadsheets/d/1XL5vhW3sbDhbH9Cz0tuDiY8C3ctxq1tqvaCgkFb8cCA/edit?usp=sharing"",""นครราชสีมา!L352"")"),759441)</f>
        <v>759441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IFERROR(__xludf.DUMMYFUNCTION("IMPORTRANGE(""https://docs.google.com/spreadsheets/d/1XL5vhW3sbDhbH9Cz0tuDiY8C3ctxq1tqvaCgkFb8cCA/edit?usp=sharing"",""นครราชสีมา!M352"")"),574154.08)</f>
        <v>574154.07999999996</v>
      </c>
      <c r="O457" s="169">
        <f t="shared" ca="1" si="116"/>
        <v>75.602196879020212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IFERROR(__xludf.DUMMYFUNCTION("IMPORTRANGE(""https://docs.google.com/spreadsheets/d/1XL5vhW3sbDhbH9Cz0tuDiY8C3ctxq1tqvaCgkFb8cCA/edit?usp=sharing"",""นครราชสีมา!L354"")"),759441)</f>
        <v>759441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IFERROR(__xludf.DUMMYFUNCTION("IMPORTRANGE(""https://docs.google.com/spreadsheets/d/1XL5vhW3sbDhbH9Cz0tuDiY8C3ctxq1tqvaCgkFb8cCA/edit?usp=sharing"",""นครราชสีมา!M354"")"),574154.08)</f>
        <v>574154.07999999996</v>
      </c>
      <c r="O459" s="169">
        <f t="shared" ca="1" si="116"/>
        <v>75.602196879020212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IFERROR(__xludf.DUMMYFUNCTION("IMPORTRANGE(""https://docs.google.com/spreadsheets/d/1XL5vhW3sbDhbH9Cz0tuDiY8C3ctxq1tqvaCgkFb8cCA/edit?usp=sharing"",""นครราชสีมา!M357"")"),96800.08)</f>
        <v>96800.08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IFERROR(__xludf.DUMMYFUNCTION("IMPORTRANGE(""https://docs.google.com/spreadsheets/d/1XL5vhW3sbDhbH9Cz0tuDiY8C3ctxq1tqvaCgkFb8cCA/edit?usp=sharing"",""นครราชสีมา!M358"")"),477354)</f>
        <v>477354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IFERROR(__xludf.DUMMYFUNCTION("IMPORTRANGE(""https://docs.google.com/spreadsheets/d/1XL5vhW3sbDhbH9Cz0tuDiY8C3ctxq1tqvaCgkFb8cCA/edit?usp=sharing"",""นครราชสีมา!J359"")"),59004)</f>
        <v>59004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IFERROR(__xludf.DUMMYFUNCTION("IMPORTRANGE(""https://docs.google.com/spreadsheets/d/1XL5vhW3sbDhbH9Cz0tuDiY8C3ctxq1tqvaCgkFb8cCA/edit?usp=sharing"",""นครราชสีมา!J376"")"),59004)</f>
        <v>59004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IFERROR(__xludf.DUMMYFUNCTION("IMPORTRANGE(""https://docs.google.com/spreadsheets/d/1XL5vhW3sbDhbH9Cz0tuDiY8C3ctxq1tqvaCgkFb8cCA/edit?usp=sharing"",""นครราชสีมา!J377"")"),6719)</f>
        <v>6719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IFERROR(__xludf.DUMMYFUNCTION("IMPORTRANGE(""https://docs.google.com/spreadsheets/d/1XL5vhW3sbDhbH9Cz0tuDiY8C3ctxq1tqvaCgkFb8cCA/edit?usp=sharing"",""นครราชสีมา!J378"")"),46130)</f>
        <v>46130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IFERROR(__xludf.DUMMYFUNCTION("IMPORTRANGE(""https://docs.google.com/spreadsheets/d/1XL5vhW3sbDhbH9Cz0tuDiY8C3ctxq1tqvaCgkFb8cCA/edit?usp=sharing"",""นครราชสีมา!J379"")"),5731)</f>
        <v>5731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IFERROR(__xludf.DUMMYFUNCTION("IMPORTRANGE(""https://docs.google.com/spreadsheets/d/1XL5vhW3sbDhbH9Cz0tuDiY8C3ctxq1tqvaCgkFb8cCA/edit?usp=sharing"",""นครราชสีมา!J380"")"),86)</f>
        <v>86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IFERROR(__xludf.DUMMYFUNCTION("IMPORTRANGE(""https://docs.google.com/spreadsheets/d/1XL5vhW3sbDhbH9Cz0tuDiY8C3ctxq1tqvaCgkFb8cCA/edit?usp=sharing"",""นครราชสีมา!J381"")"),6)</f>
        <v>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IFERROR(__xludf.DUMMYFUNCTION("IMPORTRANGE(""https://docs.google.com/spreadsheets/d/1XL5vhW3sbDhbH9Cz0tuDiY8C3ctxq1tqvaCgkFb8cCA/edit?usp=sharing"",""นครราชสีมา!J382"")"),1966)</f>
        <v>1966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IFERROR(__xludf.DUMMYFUNCTION("IMPORTRANGE(""https://docs.google.com/spreadsheets/d/1XL5vhW3sbDhbH9Cz0tuDiY8C3ctxq1tqvaCgkFb8cCA/edit?usp=sharing"",""นครราชสีมา!J383"")"),165)</f>
        <v>165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IFERROR(__xludf.DUMMYFUNCTION("IMPORTRANGE(""https://docs.google.com/spreadsheets/d/1XL5vhW3sbDhbH9Cz0tuDiY8C3ctxq1tqvaCgkFb8cCA/edit?usp=sharing"",""นครราชสีมา!J384"")"),1966)</f>
        <v>1966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IFERROR(__xludf.DUMMYFUNCTION("IMPORTRANGE(""https://docs.google.com/spreadsheets/d/1XL5vhW3sbDhbH9Cz0tuDiY8C3ctxq1tqvaCgkFb8cCA/edit?usp=sharing"",""นครราชสีมา!J385"")"),165)</f>
        <v>165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IFERROR(__xludf.DUMMYFUNCTION("IMPORTRANGE(""https://docs.google.com/spreadsheets/d/1XL5vhW3sbDhbH9Cz0tuDiY8C3ctxq1tqvaCgkFb8cCA/edit?usp=sharing"",""นครราชสีมา!J388"")"),10822)</f>
        <v>10822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IFERROR(__xludf.DUMMYFUNCTION("IMPORTRANGE(""https://docs.google.com/spreadsheets/d/1XL5vhW3sbDhbH9Cz0tuDiY8C3ctxq1tqvaCgkFb8cCA/edit?usp=sharing"",""นครราชสีมา!J389"")"),817)</f>
        <v>817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IFERROR(__xludf.DUMMYFUNCTION("IMPORTRANGE(""https://docs.google.com/spreadsheets/d/1XL5vhW3sbDhbH9Cz0tuDiY8C3ctxq1tqvaCgkFb8cCA/edit?usp=sharing"",""นครราชสีมา!J392"")"),5981)</f>
        <v>5981</v>
      </c>
      <c r="K497" s="444">
        <f t="shared" ca="1" si="117"/>
        <v>100.01672240802675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IFERROR(__xludf.DUMMYFUNCTION("IMPORTRANGE(""https://docs.google.com/spreadsheets/d/1XL5vhW3sbDhbH9Cz0tuDiY8C3ctxq1tqvaCgkFb8cCA/edit?usp=sharing"",""นครราชสีมา!J393"")"),5981)</f>
        <v>5981</v>
      </c>
      <c r="K498" s="163">
        <f t="shared" ca="1" si="117"/>
        <v>100.01672240802675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IFERROR(__xludf.DUMMYFUNCTION("IMPORTRANGE(""https://docs.google.com/spreadsheets/d/1XL5vhW3sbDhbH9Cz0tuDiY8C3ctxq1tqvaCgkFb8cCA/edit?usp=sharing"",""นครราชสีมา!J394"")"),450)</f>
        <v>450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IFERROR(__xludf.DUMMYFUNCTION("IMPORTRANGE(""https://docs.google.com/spreadsheets/d/1XL5vhW3sbDhbH9Cz0tuDiY8C3ctxq1tqvaCgkFb8cCA/edit?usp=sharing"",""นครราชสีมา!J395"")"),5966)</f>
        <v>5966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IFERROR(__xludf.DUMMYFUNCTION("IMPORTRANGE(""https://docs.google.com/spreadsheets/d/1XL5vhW3sbDhbH9Cz0tuDiY8C3ctxq1tqvaCgkFb8cCA/edit?usp=sharing"",""นครราชสีมา!J396"")"),449)</f>
        <v>449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IFERROR(__xludf.DUMMYFUNCTION("IMPORTRANGE(""https://docs.google.com/spreadsheets/d/1XL5vhW3sbDhbH9Cz0tuDiY8C3ctxq1tqvaCgkFb8cCA/edit?usp=sharing"",""นครราชสีมา!J397"")"),2223)</f>
        <v>2223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IFERROR(__xludf.DUMMYFUNCTION("IMPORTRANGE(""https://docs.google.com/spreadsheets/d/1XL5vhW3sbDhbH9Cz0tuDiY8C3ctxq1tqvaCgkFb8cCA/edit?usp=sharing"",""นครราชสีมา!J398"")"),146)</f>
        <v>146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IFERROR(__xludf.DUMMYFUNCTION("IMPORTRANGE(""https://docs.google.com/spreadsheets/d/1XL5vhW3sbDhbH9Cz0tuDiY8C3ctxq1tqvaCgkFb8cCA/edit?usp=sharing"",""นครราชสีมา!J399"")"),3743)</f>
        <v>3743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IFERROR(__xludf.DUMMYFUNCTION("IMPORTRANGE(""https://docs.google.com/spreadsheets/d/1XL5vhW3sbDhbH9Cz0tuDiY8C3ctxq1tqvaCgkFb8cCA/edit?usp=sharing"",""นครราชสีมา!J400"")"),303)</f>
        <v>303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IFERROR(__xludf.DUMMYFUNCTION("IMPORTRANGE(""https://docs.google.com/spreadsheets/d/1XL5vhW3sbDhbH9Cz0tuDiY8C3ctxq1tqvaCgkFb8cCA/edit?usp=sharing"",""นครราชสีมา!J405"")"),15)</f>
        <v>15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IFERROR(__xludf.DUMMYFUNCTION("IMPORTRANGE(""https://docs.google.com/spreadsheets/d/1XL5vhW3sbDhbH9Cz0tuDiY8C3ctxq1tqvaCgkFb8cCA/edit?usp=sharing"",""นครราชสีมา!I412"")"),0)</f>
        <v>0</v>
      </c>
      <c r="J517" s="285">
        <f ca="1">IFERROR(__xludf.DUMMYFUNCTION("IMPORTRANGE(""https://docs.google.com/spreadsheets/d/1XL5vhW3sbDhbH9Cz0tuDiY8C3ctxq1tqvaCgkFb8cCA/edit?usp=sharing"",""นครราชสีมา!J412"")"),0)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IFERROR(__xludf.DUMMYFUNCTION("IMPORTRANGE(""https://docs.google.com/spreadsheets/d/1XL5vhW3sbDhbH9Cz0tuDiY8C3ctxq1tqvaCgkFb8cCA/edit?usp=sharing"",""นครราชสีมา!I413"")"),0)</f>
        <v>0</v>
      </c>
      <c r="J518" s="285">
        <f ca="1">IFERROR(__xludf.DUMMYFUNCTION("IMPORTRANGE(""https://docs.google.com/spreadsheets/d/1XL5vhW3sbDhbH9Cz0tuDiY8C3ctxq1tqvaCgkFb8cCA/edit?usp=sharing"",""นครราชสีมา!J413"")"),0)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IFERROR(__xludf.DUMMYFUNCTION("IMPORTRANGE(""https://docs.google.com/spreadsheets/d/1XL5vhW3sbDhbH9Cz0tuDiY8C3ctxq1tqvaCgkFb8cCA/edit?usp=sharing"",""นครราชสีมา!I420"")"),887)</f>
        <v>887</v>
      </c>
      <c r="J525" s="285">
        <f ca="1">IFERROR(__xludf.DUMMYFUNCTION("IMPORTRANGE(""https://docs.google.com/spreadsheets/d/1XL5vhW3sbDhbH9Cz0tuDiY8C3ctxq1tqvaCgkFb8cCA/edit?usp=sharing"",""นครราชสีมา!J420"")"),887)</f>
        <v>887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IFERROR(__xludf.DUMMYFUNCTION("IMPORTRANGE(""https://docs.google.com/spreadsheets/d/1XL5vhW3sbDhbH9Cz0tuDiY8C3ctxq1tqvaCgkFb8cCA/edit?usp=sharing"",""นครราชสีมา!I421"")"),57)</f>
        <v>57</v>
      </c>
      <c r="J526" s="285">
        <f ca="1">IFERROR(__xludf.DUMMYFUNCTION("IMPORTRANGE(""https://docs.google.com/spreadsheets/d/1XL5vhW3sbDhbH9Cz0tuDiY8C3ctxq1tqvaCgkFb8cCA/edit?usp=sharing"",""นครราชสีมา!J421"")"),57)</f>
        <v>57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IFERROR(__xludf.DUMMYFUNCTION("IMPORTRANGE(""https://docs.google.com/spreadsheets/d/1XL5vhW3sbDhbH9Cz0tuDiY8C3ctxq1tqvaCgkFb8cCA/edit?usp=sharing"",""นครราชสีมา!J422"")"),183)</f>
        <v>183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IFERROR(__xludf.DUMMYFUNCTION("IMPORTRANGE(""https://docs.google.com/spreadsheets/d/1XL5vhW3sbDhbH9Cz0tuDiY8C3ctxq1tqvaCgkFb8cCA/edit?usp=sharing"",""นครราชสีมา!J424"")"),704)</f>
        <v>704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IFERROR(__xludf.DUMMYFUNCTION("IMPORTRANGE(""https://docs.google.com/spreadsheets/d/1XL5vhW3sbDhbH9Cz0tuDiY8C3ctxq1tqvaCgkFb8cCA/edit?usp=sharing"",""นครราชสีมา!J425"")"),51)</f>
        <v>51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IFERROR(__xludf.DUMMYFUNCTION("IMPORTRANGE(""https://docs.google.com/spreadsheets/d/1XL5vhW3sbDhbH9Cz0tuDiY8C3ctxq1tqvaCgkFb8cCA/edit?usp=sharing"",""นครราชสีมา!M428"")"),29170)</f>
        <v>29170</v>
      </c>
      <c r="O533" s="412">
        <f t="shared" ref="O533:O537" ca="1" si="118">+IF(L533&gt;0,N533*100/L533,0)</f>
        <v>80.937846836847953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IFERROR(__xludf.DUMMYFUNCTION("IMPORTRANGE(""https://docs.google.com/spreadsheets/d/1XL5vhW3sbDhbH9Cz0tuDiY8C3ctxq1tqvaCgkFb8cCA/edit?usp=sharing"",""นครราชสีมา!L430"")"),36040)</f>
        <v>36040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IFERROR(__xludf.DUMMYFUNCTION("IMPORTRANGE(""https://docs.google.com/spreadsheets/d/1XL5vhW3sbDhbH9Cz0tuDiY8C3ctxq1tqvaCgkFb8cCA/edit?usp=sharing"",""นครราชสีมา!M430"")"),29170)</f>
        <v>29170</v>
      </c>
      <c r="O535" s="169">
        <f t="shared" ca="1" si="118"/>
        <v>80.937846836847953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IFERROR(__xludf.DUMMYFUNCTION("IMPORTRANGE(""https://docs.google.com/spreadsheets/d/1XL5vhW3sbDhbH9Cz0tuDiY8C3ctxq1tqvaCgkFb8cCA/edit?usp=sharing"",""นครราชสีมา!L432"")"),36040)</f>
        <v>36040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IFERROR(__xludf.DUMMYFUNCTION("IMPORTRANGE(""https://docs.google.com/spreadsheets/d/1XL5vhW3sbDhbH9Cz0tuDiY8C3ctxq1tqvaCgkFb8cCA/edit?usp=sharing"",""นครราชสีมา!M432"")"),29170)</f>
        <v>29170</v>
      </c>
      <c r="O537" s="169">
        <f t="shared" ca="1" si="118"/>
        <v>80.937846836847953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IFERROR(__xludf.DUMMYFUNCTION("IMPORTRANGE(""https://docs.google.com/spreadsheets/d/1XL5vhW3sbDhbH9Cz0tuDiY8C3ctxq1tqvaCgkFb8cCA/edit?usp=sharing"",""นครราชสีมา!M436"")"),5570)</f>
        <v>5570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IFERROR(__xludf.DUMMYFUNCTION("IMPORTRANGE(""https://docs.google.com/spreadsheets/d/1XL5vhW3sbDhbH9Cz0tuDiY8C3ctxq1tqvaCgkFb8cCA/edit?usp=sharing"",""นครราชสีมา!J446"")"),5193)</f>
        <v>5193</v>
      </c>
      <c r="K551" s="411">
        <f ca="1">IF(I551&gt;0,J551*100/I551,0)</f>
        <v>103.86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IFERROR(__xludf.DUMMYFUNCTION("IMPORTRANGE(""https://docs.google.com/spreadsheets/d/1XL5vhW3sbDhbH9Cz0tuDiY8C3ctxq1tqvaCgkFb8cCA/edit?usp=sharing"",""นครราชสีมา!M446"")"),310040.5)</f>
        <v>310040.5</v>
      </c>
      <c r="O551" s="412">
        <f t="shared" ref="O551:O555" ca="1" si="120">+IF(L551&gt;0,N551*100/L551,0)</f>
        <v>96.887656250000006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IFERROR(__xludf.DUMMYFUNCTION("IMPORTRANGE(""https://docs.google.com/spreadsheets/d/1XL5vhW3sbDhbH9Cz0tuDiY8C3ctxq1tqvaCgkFb8cCA/edit?usp=sharing"",""นครราชสีมา!M448"")"),310040.5)</f>
        <v>310040.5</v>
      </c>
      <c r="O553" s="169">
        <f t="shared" ca="1" si="120"/>
        <v>96.887656250000006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IFERROR(__xludf.DUMMYFUNCTION("IMPORTRANGE(""https://docs.google.com/spreadsheets/d/1XL5vhW3sbDhbH9Cz0tuDiY8C3ctxq1tqvaCgkFb8cCA/edit?usp=sharing"",""นครราชสีมา!M450"")"),310040.5)</f>
        <v>310040.5</v>
      </c>
      <c r="O555" s="169">
        <f t="shared" ca="1" si="120"/>
        <v>96.887656250000006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IFERROR(__xludf.DUMMYFUNCTION("IMPORTRANGE(""https://docs.google.com/spreadsheets/d/1XL5vhW3sbDhbH9Cz0tuDiY8C3ctxq1tqvaCgkFb8cCA/edit?usp=sharing"",""นครราชสีมา!M454"")"),310040.5)</f>
        <v>310040.5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IFERROR(__xludf.DUMMYFUNCTION("IMPORTRANGE(""https://docs.google.com/spreadsheets/d/1XL5vhW3sbDhbH9Cz0tuDiY8C3ctxq1tqvaCgkFb8cCA/edit?usp=sharing"",""นครราชสีมา!J455"")"),5193)</f>
        <v>5193</v>
      </c>
      <c r="K560" s="225">
        <f t="shared" ref="K560:K561" ca="1" si="121">IF(I560&gt;0,J560*100/I560,0)</f>
        <v>103.86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IFERROR(__xludf.DUMMYFUNCTION("IMPORTRANGE(""https://docs.google.com/spreadsheets/d/1XL5vhW3sbDhbH9Cz0tuDiY8C3ctxq1tqvaCgkFb8cCA/edit?usp=sharing"",""นครราชสีมา!J456"")"),306)</f>
        <v>306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IFERROR(__xludf.DUMMYFUNCTION("IMPORTRANGE(""https://docs.google.com/spreadsheets/d/1XL5vhW3sbDhbH9Cz0tuDiY8C3ctxq1tqvaCgkFb8cCA/edit?usp=sharing"",""นครราชสีมา!J459"")"),19572)</f>
        <v>19572</v>
      </c>
      <c r="K564" s="372">
        <f ca="1">IF(I564&gt;0,J564*100/I564,0)</f>
        <v>217.46666666666667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IFERROR(__xludf.DUMMYFUNCTION("IMPORTRANGE(""https://docs.google.com/spreadsheets/d/1XL5vhW3sbDhbH9Cz0tuDiY8C3ctxq1tqvaCgkFb8cCA/edit?usp=sharing"",""นครราชสีมา!M459"")"),205230.74)</f>
        <v>205230.74</v>
      </c>
      <c r="O564" s="373">
        <f t="shared" ref="O564:O568" ca="1" si="122">+IF(L564&gt;0,N564*100/L564,0)</f>
        <v>97.173645833333339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IFERROR(__xludf.DUMMYFUNCTION("IMPORTRANGE(""https://docs.google.com/spreadsheets/d/1XL5vhW3sbDhbH9Cz0tuDiY8C3ctxq1tqvaCgkFb8cCA/edit?usp=sharing"",""นครราชสีมา!M461"")"),205230.74)</f>
        <v>205230.74</v>
      </c>
      <c r="O566" s="169">
        <f t="shared" ca="1" si="122"/>
        <v>97.173645833333339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IFERROR(__xludf.DUMMYFUNCTION("IMPORTRANGE(""https://docs.google.com/spreadsheets/d/1XL5vhW3sbDhbH9Cz0tuDiY8C3ctxq1tqvaCgkFb8cCA/edit?usp=sharing"",""นครราชสีมา!M463"")"),205230.74)</f>
        <v>205230.74</v>
      </c>
      <c r="O568" s="169">
        <f t="shared" ca="1" si="122"/>
        <v>97.173645833333339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IFERROR(__xludf.DUMMYFUNCTION("IMPORTRANGE(""https://docs.google.com/spreadsheets/d/1XL5vhW3sbDhbH9Cz0tuDiY8C3ctxq1tqvaCgkFb8cCA/edit?usp=sharing"",""นครราชสีมา!M466"")"),96066.74)</f>
        <v>96066.74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IFERROR(__xludf.DUMMYFUNCTION("IMPORTRANGE(""https://docs.google.com/spreadsheets/d/1XL5vhW3sbDhbH9Cz0tuDiY8C3ctxq1tqvaCgkFb8cCA/edit?usp=sharing"",""นครราชสีมา!M467"")"),109164)</f>
        <v>109164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IFERROR(__xludf.DUMMYFUNCTION("IMPORTRANGE(""https://docs.google.com/spreadsheets/d/1XL5vhW3sbDhbH9Cz0tuDiY8C3ctxq1tqvaCgkFb8cCA/edit?usp=sharing"",""นครราชสีมา!J468"")"),19572)</f>
        <v>19572</v>
      </c>
      <c r="K573" s="202">
        <f ca="1">IF(I573&gt;0,J573*100/I573,0)</f>
        <v>217.46666666666667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IFERROR(__xludf.DUMMYFUNCTION("IMPORTRANGE(""https://docs.google.com/spreadsheets/d/1XL5vhW3sbDhbH9Cz0tuDiY8C3ctxq1tqvaCgkFb8cCA/edit?usp=sharing"",""นครราชสีมา!J471"")"),2890)</f>
        <v>2890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IFERROR(__xludf.DUMMYFUNCTION("IMPORTRANGE(""https://docs.google.com/spreadsheets/d/1XL5vhW3sbDhbH9Cz0tuDiY8C3ctxq1tqvaCgkFb8cCA/edit?usp=sharing"",""นครราชสีมา!J472"")"),16680)</f>
        <v>16680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IFERROR(__xludf.DUMMYFUNCTION("IMPORTRANGE(""https://docs.google.com/spreadsheets/d/1XL5vhW3sbDhbH9Cz0tuDiY8C3ctxq1tqvaCgkFb8cCA/edit?usp=sharing"",""นครราชสีมา!I475"")"),1000)</f>
        <v>1000</v>
      </c>
      <c r="J580" s="371">
        <f ca="1">IFERROR(__xludf.DUMMYFUNCTION("IMPORTRANGE(""https://docs.google.com/spreadsheets/d/1XL5vhW3sbDhbH9Cz0tuDiY8C3ctxq1tqvaCgkFb8cCA/edit?usp=sharing"",""นครราชสีมา!J475"")"),54)</f>
        <v>54</v>
      </c>
      <c r="K580" s="372">
        <f ca="1">IF(I580&gt;0,J580*100/I580,0)</f>
        <v>5.4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IFERROR(__xludf.DUMMYFUNCTION("IMPORTRANGE(""https://docs.google.com/spreadsheets/d/1XL5vhW3sbDhbH9Cz0tuDiY8C3ctxq1tqvaCgkFb8cCA/edit?usp=sharing"",""นครราชสีมา!M475"")"),922527.9)</f>
        <v>922527.9</v>
      </c>
      <c r="O580" s="373">
        <f t="shared" ref="O580:O584" ca="1" si="124">+IF(L580&gt;0,N580*100/L580,0)</f>
        <v>80.598278874716058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IFERROR(__xludf.DUMMYFUNCTION("IMPORTRANGE(""https://docs.google.com/spreadsheets/d/1XL5vhW3sbDhbH9Cz0tuDiY8C3ctxq1tqvaCgkFb8cCA/edit?usp=sharing"",""นครราชสีมา!M477"")"),922527.9)</f>
        <v>922527.9</v>
      </c>
      <c r="O582" s="169">
        <f t="shared" ca="1" si="124"/>
        <v>80.598278874716058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IFERROR(__xludf.DUMMYFUNCTION("IMPORTRANGE(""https://docs.google.com/spreadsheets/d/1XL5vhW3sbDhbH9Cz0tuDiY8C3ctxq1tqvaCgkFb8cCA/edit?usp=sharing"",""นครราชสีมา!M479"")"),922527.9)</f>
        <v>922527.9</v>
      </c>
      <c r="O584" s="169">
        <f t="shared" ca="1" si="124"/>
        <v>80.598278874716058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IFERROR(__xludf.DUMMYFUNCTION("IMPORTRANGE(""https://docs.google.com/spreadsheets/d/1XL5vhW3sbDhbH9Cz0tuDiY8C3ctxq1tqvaCgkFb8cCA/edit?usp=sharing"",""นครราชสีมา!M482"")"),255566.89)</f>
        <v>255566.89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IFERROR(__xludf.DUMMYFUNCTION("IMPORTRANGE(""https://docs.google.com/spreadsheets/d/1XL5vhW3sbDhbH9Cz0tuDiY8C3ctxq1tqvaCgkFb8cCA/edit?usp=sharing"",""นครราชสีมา!M483"")"),666961.01)</f>
        <v>666961.01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IFERROR(__xludf.DUMMYFUNCTION("IMPORTRANGE(""https://docs.google.com/spreadsheets/d/1XL5vhW3sbDhbH9Cz0tuDiY8C3ctxq1tqvaCgkFb8cCA/edit?usp=sharing"",""นครราชสีมา!I484"")"),1000)</f>
        <v>1000</v>
      </c>
      <c r="J589" s="188">
        <f ca="1">IFERROR(__xludf.DUMMYFUNCTION("IMPORTRANGE(""https://docs.google.com/spreadsheets/d/1XL5vhW3sbDhbH9Cz0tuDiY8C3ctxq1tqvaCgkFb8cCA/edit?usp=sharing"",""นครราชสีมา!J484"")"),1212)</f>
        <v>1212</v>
      </c>
      <c r="K589" s="163">
        <f t="shared" ref="K589:K596" ca="1" si="125">IF(I589&gt;0,J589*100/I589,0)</f>
        <v>121.2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IFERROR(__xludf.DUMMYFUNCTION("IMPORTRANGE(""https://docs.google.com/spreadsheets/d/1XL5vhW3sbDhbH9Cz0tuDiY8C3ctxq1tqvaCgkFb8cCA/edit?usp=sharing"",""นครราชสีมา!J485"")"),730.8)</f>
        <v>730.8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IFERROR(__xludf.DUMMYFUNCTION("IMPORTRANGE(""https://docs.google.com/spreadsheets/d/1XL5vhW3sbDhbH9Cz0tuDiY8C3ctxq1tqvaCgkFb8cCA/edit?usp=sharing"",""นครราชสีมา!I486"")"),1000)</f>
        <v>1000</v>
      </c>
      <c r="J591" s="188">
        <f ca="1">IFERROR(__xludf.DUMMYFUNCTION("IMPORTRANGE(""https://docs.google.com/spreadsheets/d/1XL5vhW3sbDhbH9Cz0tuDiY8C3ctxq1tqvaCgkFb8cCA/edit?usp=sharing"",""นครราชสีมา!J486"")"),2682)</f>
        <v>2682</v>
      </c>
      <c r="K591" s="163">
        <f t="shared" ca="1" si="125"/>
        <v>268.2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IFERROR(__xludf.DUMMYFUNCTION("IMPORTRANGE(""https://docs.google.com/spreadsheets/d/1XL5vhW3sbDhbH9Cz0tuDiY8C3ctxq1tqvaCgkFb8cCA/edit?usp=sharing"",""นครราชสีมา!J487"")"),1612.66)</f>
        <v>1612.66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IFERROR(__xludf.DUMMYFUNCTION("IMPORTRANGE(""https://docs.google.com/spreadsheets/d/1XL5vhW3sbDhbH9Cz0tuDiY8C3ctxq1tqvaCgkFb8cCA/edit?usp=sharing"",""นครราชสีมา!I488"")"),1000)</f>
        <v>1000</v>
      </c>
      <c r="J593" s="188">
        <f ca="1">IFERROR(__xludf.DUMMYFUNCTION("IMPORTRANGE(""https://docs.google.com/spreadsheets/d/1XL5vhW3sbDhbH9Cz0tuDiY8C3ctxq1tqvaCgkFb8cCA/edit?usp=sharing"",""นครราชสีมา!J488"")"),15)</f>
        <v>15</v>
      </c>
      <c r="K593" s="163">
        <f t="shared" ca="1" si="125"/>
        <v>1.5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IFERROR(__xludf.DUMMYFUNCTION("IMPORTRANGE(""https://docs.google.com/spreadsheets/d/1XL5vhW3sbDhbH9Cz0tuDiY8C3ctxq1tqvaCgkFb8cCA/edit?usp=sharing"",""นครราชสีมา!J489"")"),8.2)</f>
        <v>8.1999999999999993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IFERROR(__xludf.DUMMYFUNCTION("IMPORTRANGE(""https://docs.google.com/spreadsheets/d/1XL5vhW3sbDhbH9Cz0tuDiY8C3ctxq1tqvaCgkFb8cCA/edit?usp=sharing"",""นครราชสีมา!I490"")"),1000)</f>
        <v>1000</v>
      </c>
      <c r="J595" s="188">
        <f ca="1">IFERROR(__xludf.DUMMYFUNCTION("IMPORTRANGE(""https://docs.google.com/spreadsheets/d/1XL5vhW3sbDhbH9Cz0tuDiY8C3ctxq1tqvaCgkFb8cCA/edit?usp=sharing"",""นครราชสีมา!J490"")"),54)</f>
        <v>54</v>
      </c>
      <c r="K595" s="163">
        <f t="shared" ca="1" si="125"/>
        <v>5.4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IFERROR(__xludf.DUMMYFUNCTION("IMPORTRANGE(""https://docs.google.com/spreadsheets/d/1XL5vhW3sbDhbH9Cz0tuDiY8C3ctxq1tqvaCgkFb8cCA/edit?usp=sharing"",""นครราชสีมา!J491"")"),35.08)</f>
        <v>35.08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8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IFERROR(__xludf.DUMMYFUNCTION("IMPORTRANGE(""https://docs.google.com/spreadsheets/d/1XL5vhW3sbDhbH9Cz0tuDiY8C3ctxq1tqvaCgkFb8cCA/edit?usp=sharing"",""นครราชสีมา!L494"")"),30900)</f>
        <v>30900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11.003236245954692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IFERROR(__xludf.DUMMYFUNCTION("IMPORTRANGE(""https://docs.google.com/spreadsheets/d/1XL5vhW3sbDhbH9Cz0tuDiY8C3ctxq1tqvaCgkFb8cCA/edit?usp=sharing"",""นครราชสีมา!L496"")"),30900)</f>
        <v>30900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11.003236245954692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IFERROR(__xludf.DUMMYFUNCTION("IMPORTRANGE(""https://docs.google.com/spreadsheets/d/1XL5vhW3sbDhbH9Cz0tuDiY8C3ctxq1tqvaCgkFb8cCA/edit?usp=sharing"",""นครราชสีมา!J510"")"),148)</f>
        <v>148</v>
      </c>
      <c r="K615" s="163">
        <f t="shared" ca="1" si="127"/>
        <v>29.6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IFERROR(__xludf.DUMMYFUNCTION("IMPORTRANGE(""https://docs.google.com/spreadsheets/d/1XL5vhW3sbDhbH9Cz0tuDiY8C3ctxq1tqvaCgkFb8cCA/edit?usp=sharing"",""นครราชสีมา!J511"")"),148)</f>
        <v>148</v>
      </c>
      <c r="K616" s="163">
        <f t="shared" ca="1" si="127"/>
        <v>29.6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2">
        <f ca="1">IFERROR(__xludf.DUMMYFUNCTION("IMPORTRANGE(""https://docs.google.com/spreadsheets/d/1XL5vhW3sbDhbH9Cz0tuDiY8C3ctxq1tqvaCgkFb8cCA/edit?usp=sharing"",""นครราชสีมา!J523"")"),13848000)</f>
        <v>13848000</v>
      </c>
      <c r="K628" s="343">
        <f t="shared" ref="K628:K635" ca="1" si="129">IF(I628&gt;0,J628*100/I628,0)</f>
        <v>92.32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IFERROR(__xludf.DUMMYFUNCTION("IMPORTRANGE(""https://docs.google.com/spreadsheets/d/1XL5vhW3sbDhbH9Cz0tuDiY8C3ctxq1tqvaCgkFb8cCA/edit?usp=sharing"",""นครราชสีมา!I524"")"),393)</f>
        <v>393</v>
      </c>
      <c r="J629" s="342">
        <f ca="1">IFERROR(__xludf.DUMMYFUNCTION("IMPORTRANGE(""https://docs.google.com/spreadsheets/d/1XL5vhW3sbDhbH9Cz0tuDiY8C3ctxq1tqvaCgkFb8cCA/edit?usp=sharing"",""นครราชสีมา!J524"")"),360)</f>
        <v>360</v>
      </c>
      <c r="K629" s="343">
        <f t="shared" ca="1" si="129"/>
        <v>91.603053435114504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2">
        <f ca="1">IFERROR(__xludf.DUMMYFUNCTION("IMPORTRANGE(""https://docs.google.com/spreadsheets/d/1XL5vhW3sbDhbH9Cz0tuDiY8C3ctxq1tqvaCgkFb8cCA/edit?usp=sharing"",""นครราชสีมา!J525"")"),1050422.41)</f>
        <v>1050422.4099999999</v>
      </c>
      <c r="K630" s="343">
        <f t="shared" ca="1" si="129"/>
        <v>12.451904168183264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IFERROR(__xludf.DUMMYFUNCTION("IMPORTRANGE(""https://docs.google.com/spreadsheets/d/1XL5vhW3sbDhbH9Cz0tuDiY8C3ctxq1tqvaCgkFb8cCA/edit?usp=sharing"",""นครราชสีมา!I526"")"),267)</f>
        <v>267</v>
      </c>
      <c r="J631" s="342">
        <f ca="1">IFERROR(__xludf.DUMMYFUNCTION("IMPORTRANGE(""https://docs.google.com/spreadsheets/d/1XL5vhW3sbDhbH9Cz0tuDiY8C3ctxq1tqvaCgkFb8cCA/edit?usp=sharing"",""นครราชสีมา!J526"")"),129)</f>
        <v>129</v>
      </c>
      <c r="K631" s="343">
        <f t="shared" ca="1" si="129"/>
        <v>48.314606741573037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2">
        <f ca="1">IFERROR(__xludf.DUMMYFUNCTION("IMPORTRANGE(""https://docs.google.com/spreadsheets/d/1XL5vhW3sbDhbH9Cz0tuDiY8C3ctxq1tqvaCgkFb8cCA/edit?usp=sharing"",""นครราชสีมา!J527"")"),308395.93)</f>
        <v>308395.93</v>
      </c>
      <c r="K632" s="343">
        <f t="shared" ca="1" si="129"/>
        <v>1552.23683097911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IFERROR(__xludf.DUMMYFUNCTION("IMPORTRANGE(""https://docs.google.com/spreadsheets/d/1XL5vhW3sbDhbH9Cz0tuDiY8C3ctxq1tqvaCgkFb8cCA/edit?usp=sharing"",""นครราชสีมา!I528"")"),105)</f>
        <v>105</v>
      </c>
      <c r="J633" s="342">
        <f ca="1">IFERROR(__xludf.DUMMYFUNCTION("IMPORTRANGE(""https://docs.google.com/spreadsheets/d/1XL5vhW3sbDhbH9Cz0tuDiY8C3ctxq1tqvaCgkFb8cCA/edit?usp=sharing"",""นครราชสีมา!J528"")"),122)</f>
        <v>122</v>
      </c>
      <c r="K633" s="343">
        <f t="shared" ca="1" si="129"/>
        <v>116.19047619047619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IFERROR(__xludf.DUMMYFUNCTION("IMPORTRANGE(""https://docs.google.com/spreadsheets/d/1XL5vhW3sbDhbH9Cz0tuDiY8C3ctxq1tqvaCgkFb8cCA/edit?usp=sharing"",""นครราชสีมา!I529"")"),15000000)</f>
        <v>15000000</v>
      </c>
      <c r="J634" s="342">
        <f ca="1">IFERROR(__xludf.DUMMYFUNCTION("IMPORTRANGE(""https://docs.google.com/spreadsheets/d/1XL5vhW3sbDhbH9Cz0tuDiY8C3ctxq1tqvaCgkFb8cCA/edit?usp=sharing"",""นครราชสีมา!J529"")"),11359000)</f>
        <v>11359000</v>
      </c>
      <c r="K634" s="343">
        <f t="shared" ca="1" si="129"/>
        <v>75.726666666666674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IFERROR(__xludf.DUMMYFUNCTION("IMPORTRANGE(""https://docs.google.com/spreadsheets/d/1XL5vhW3sbDhbH9Cz0tuDiY8C3ctxq1tqvaCgkFb8cCA/edit?usp=sharing"",""นครราชสีมา!I530"")"),389)</f>
        <v>389</v>
      </c>
      <c r="J635" s="505">
        <f ca="1">IFERROR(__xludf.DUMMYFUNCTION("IMPORTRANGE(""https://docs.google.com/spreadsheets/d/1XL5vhW3sbDhbH9Cz0tuDiY8C3ctxq1tqvaCgkFb8cCA/edit?usp=sharing"",""นครราชสีมา!J530"")"),293)</f>
        <v>293</v>
      </c>
      <c r="K635" s="487">
        <f t="shared" ca="1" si="129"/>
        <v>75.321336760925448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1560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1560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1560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IFERROR(__xludf.DUMMYFUNCTION("IMPORTRANGE(""https://docs.google.com/spreadsheets/d/1XL5vhW3sbDhbH9Cz0tuDiY8C3ctxq1tqvaCgkFb8cCA/edit#gid=346597447"",""นครราชสีมา!J541"")"),0)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IFERROR(__xludf.DUMMYFUNCTION("IMPORTRANGE(""https://docs.google.com/spreadsheets/d/1XL5vhW3sbDhbH9Cz0tuDiY8C3ctxq1tqvaCgkFb8cCA/edit#gid=346597447"",""นครราชสีมา!J542"")"),0)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IFERROR(__xludf.DUMMYFUNCTION("IMPORTRANGE(""https://docs.google.com/spreadsheets/d/1XL5vhW3sbDhbH9Cz0tuDiY8C3ctxq1tqvaCgkFb8cCA/edit#gid=346597447"",""นครราชสีมา!I543"")"),0)</f>
        <v>0</v>
      </c>
      <c r="J648" s="586">
        <f ca="1">IFERROR(__xludf.DUMMYFUNCTION("IMPORTRANGE(""https://docs.google.com/spreadsheets/d/1XL5vhW3sbDhbH9Cz0tuDiY8C3ctxq1tqvaCgkFb8cCA/edit#gid=346597447"",""นครราชสีมา!J543"")"),0)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IFERROR(__xludf.DUMMYFUNCTION("IMPORTRANGE(""https://docs.google.com/spreadsheets/d/1XL5vhW3sbDhbH9Cz0tuDiY8C3ctxq1tqvaCgkFb8cCA/edit#gid=346597447"",""นครราชสีมา!L543"")"),0)</f>
        <v>0</v>
      </c>
      <c r="M648" s="571"/>
      <c r="N648" s="588">
        <f ca="1">IFERROR(__xludf.DUMMYFUNCTION("IMPORTRANGE(""https://docs.google.com/spreadsheets/d/1XL5vhW3sbDhbH9Cz0tuDiY8C3ctxq1tqvaCgkFb8cCA/edit#gid=346597447"",""นครราชสีมา!M543"")"),0)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IFERROR(__xludf.DUMMYFUNCTION("IMPORTRANGE(""https://docs.google.com/spreadsheets/d/1XL5vhW3sbDhbH9Cz0tuDiY8C3ctxq1tqvaCgkFb8cCA/edit#gid=346597447"",""นครราชสีมา!I544"")"),4)</f>
        <v>4</v>
      </c>
      <c r="J649" s="586">
        <f ca="1">IFERROR(__xludf.DUMMYFUNCTION("IMPORTRANGE(""https://docs.google.com/spreadsheets/d/1XL5vhW3sbDhbH9Cz0tuDiY8C3ctxq1tqvaCgkFb8cCA/edit#gid=346597447"",""นครราชสีมา!J544"")"),0)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IFERROR(__xludf.DUMMYFUNCTION("IMPORTRANGE(""https://docs.google.com/spreadsheets/d/1XL5vhW3sbDhbH9Cz0tuDiY8C3ctxq1tqvaCgkFb8cCA/edit#gid=346597447"",""นครราชสีมา!L544"")"),480)</f>
        <v>480</v>
      </c>
      <c r="M649" s="571"/>
      <c r="N649" s="588">
        <f ca="1">IFERROR(__xludf.DUMMYFUNCTION("IMPORTRANGE(""https://docs.google.com/spreadsheets/d/1XL5vhW3sbDhbH9Cz0tuDiY8C3ctxq1tqvaCgkFb8cCA/edit#gid=346597447"",""นครราชสีมา!M544"")"),0)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IFERROR(__xludf.DUMMYFUNCTION("IMPORTRANGE(""https://docs.google.com/spreadsheets/d/1XL5vhW3sbDhbH9Cz0tuDiY8C3ctxq1tqvaCgkFb8cCA/edit#gid=346597447"",""นครราชสีมา!I545"")"),0)</f>
        <v>0</v>
      </c>
      <c r="J650" s="586">
        <f ca="1">IFERROR(__xludf.DUMMYFUNCTION("IMPORTRANGE(""https://docs.google.com/spreadsheets/d/1XL5vhW3sbDhbH9Cz0tuDiY8C3ctxq1tqvaCgkFb8cCA/edit#gid=346597447"",""นครราชสีมา!J545"")"),0)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IFERROR(__xludf.DUMMYFUNCTION("IMPORTRANGE(""https://docs.google.com/spreadsheets/d/1XL5vhW3sbDhbH9Cz0tuDiY8C3ctxq1tqvaCgkFb8cCA/edit#gid=346597447"",""นครราชสีมา!L545"")"),0)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IFERROR(__xludf.DUMMYFUNCTION("IMPORTRANGE(""https://docs.google.com/spreadsheets/d/1XL5vhW3sbDhbH9Cz0tuDiY8C3ctxq1tqvaCgkFb8cCA/edit#gid=346597447"",""นครราชสีมา!M545"")"),0)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IFERROR(__xludf.DUMMYFUNCTION("IMPORTRANGE(""https://docs.google.com/spreadsheets/d/1XL5vhW3sbDhbH9Cz0tuDiY8C3ctxq1tqvaCgkFb8cCA/edit#gid=346597447"",""นครราชสีมา!I546"")"),0)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IFERROR(__xludf.DUMMYFUNCTION("IMPORTRANGE(""https://docs.google.com/spreadsheets/d/1XL5vhW3sbDhbH9Cz0tuDiY8C3ctxq1tqvaCgkFb8cCA/edit#gid=346597447"",""นครราชสีมา!L546"")"),0)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IFERROR(__xludf.DUMMYFUNCTION("IMPORTRANGE(""https://docs.google.com/spreadsheets/d/1XL5vhW3sbDhbH9Cz0tuDiY8C3ctxq1tqvaCgkFb8cCA/edit#gid=346597447"",""นครราชสีมา!M546"")"),0)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IFERROR(__xludf.DUMMYFUNCTION("IMPORTRANGE(""https://docs.google.com/spreadsheets/d/1XL5vhW3sbDhbH9Cz0tuDiY8C3ctxq1tqvaCgkFb8cCA/edit#gid=346597447"",""นครราชสีมา!J547"")"),0)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IFERROR(__xludf.DUMMYFUNCTION("IMPORTRANGE(""https://docs.google.com/spreadsheets/d/1XL5vhW3sbDhbH9Cz0tuDiY8C3ctxq1tqvaCgkFb8cCA/edit#gid=346597447"",""นครราชสีมา!J548"")"),0)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IFERROR(__xludf.DUMMYFUNCTION("IMPORTRANGE(""https://docs.google.com/spreadsheets/d/1XL5vhW3sbDhbH9Cz0tuDiY8C3ctxq1tqvaCgkFb8cCA/edit#gid=346597447"",""นครราชสีมา!J550"")"),0)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IFERROR(__xludf.DUMMYFUNCTION("IMPORTRANGE(""https://docs.google.com/spreadsheets/d/1XL5vhW3sbDhbH9Cz0tuDiY8C3ctxq1tqvaCgkFb8cCA/edit#gid=346597447"",""นครราชสีมา!J551"")"),0)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IFERROR(__xludf.DUMMYFUNCTION("IMPORTRANGE(""https://docs.google.com/spreadsheets/d/1XL5vhW3sbDhbH9Cz0tuDiY8C3ctxq1tqvaCgkFb8cCA/edit#gid=346597447"",""นครราชสีมา!J552"")"),0)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IFERROR(__xludf.DUMMYFUNCTION("IMPORTRANGE(""https://docs.google.com/spreadsheets/d/1XL5vhW3sbDhbH9Cz0tuDiY8C3ctxq1tqvaCgkFb8cCA/edit#gid=346597447"",""นครราชสีมา!J553"")"),0)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IFERROR(__xludf.DUMMYFUNCTION("IMPORTRANGE(""https://docs.google.com/spreadsheets/d/1XL5vhW3sbDhbH9Cz0tuDiY8C3ctxq1tqvaCgkFb8cCA/edit#gid=346597447"",""นครราชสีมา!J554"")"),0)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IFERROR(__xludf.DUMMYFUNCTION("IMPORTRANGE(""https://docs.google.com/spreadsheets/d/1XL5vhW3sbDhbH9Cz0tuDiY8C3ctxq1tqvaCgkFb8cCA/edit#gid=346597447"",""นครราชสีมา!J555"")"),0)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IFERROR(__xludf.DUMMYFUNCTION("IMPORTRANGE(""https://docs.google.com/spreadsheets/d/1XL5vhW3sbDhbH9Cz0tuDiY8C3ctxq1tqvaCgkFb8cCA/edit#gid=346597447"",""นครราชสีมา!J556"")"),0)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IFERROR(__xludf.DUMMYFUNCTION("IMPORTRANGE(""https://docs.google.com/spreadsheets/d/1XL5vhW3sbDhbH9Cz0tuDiY8C3ctxq1tqvaCgkFb8cCA/edit#gid=346597447"",""นครราชสีมา!L556"")"),0)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IFERROR(__xludf.DUMMYFUNCTION("IMPORTRANGE(""https://docs.google.com/spreadsheets/d/1XL5vhW3sbDhbH9Cz0tuDiY8C3ctxq1tqvaCgkFb8cCA/edit#gid=346597447"",""นครราชสีมา!M556"")"),0)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IFERROR(__xludf.DUMMYFUNCTION("IMPORTRANGE(""https://docs.google.com/spreadsheets/d/1XL5vhW3sbDhbH9Cz0tuDiY8C3ctxq1tqvaCgkFb8cCA/edit#gid=346597447"",""นครราชสีมา!J557"")"),0)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IFERROR(__xludf.DUMMYFUNCTION("IMPORTRANGE(""https://docs.google.com/spreadsheets/d/1XL5vhW3sbDhbH9Cz0tuDiY8C3ctxq1tqvaCgkFb8cCA/edit#gid=346597447"",""นครราชสีมา!I558"")"),0)</f>
        <v>0</v>
      </c>
      <c r="J663" s="586">
        <f ca="1">IFERROR(__xludf.DUMMYFUNCTION("IMPORTRANGE(""https://docs.google.com/spreadsheets/d/1XL5vhW3sbDhbH9Cz0tuDiY8C3ctxq1tqvaCgkFb8cCA/edit#gid=346597447"",""นครราชสีมา!J558"")"),0)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IFERROR(__xludf.DUMMYFUNCTION("IMPORTRANGE(""https://docs.google.com/spreadsheets/d/1XL5vhW3sbDhbH9Cz0tuDiY8C3ctxq1tqvaCgkFb8cCA/edit#gid=346597447"",""นครราชสีมา!I560"")"),9)</f>
        <v>9</v>
      </c>
      <c r="J665" s="586">
        <f ca="1">IFERROR(__xludf.DUMMYFUNCTION("IMPORTRANGE(""https://docs.google.com/spreadsheets/d/1XL5vhW3sbDhbH9Cz0tuDiY8C3ctxq1tqvaCgkFb8cCA/edit#gid=346597447"",""นครราชสีมา!J560"")"),0)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IFERROR(__xludf.DUMMYFUNCTION("IMPORTRANGE(""https://docs.google.com/spreadsheets/d/1XL5vhW3sbDhbH9Cz0tuDiY8C3ctxq1tqvaCgkFb8cCA/edit#gid=346597447"",""นครราชสีมา!L560"")"),1080)</f>
        <v>1080</v>
      </c>
      <c r="M665" s="571"/>
      <c r="N665" s="588">
        <f ca="1">IFERROR(__xludf.DUMMYFUNCTION("IMPORTRANGE(""https://docs.google.com/spreadsheets/d/1XL5vhW3sbDhbH9Cz0tuDiY8C3ctxq1tqvaCgkFb8cCA/edit#gid=346597447"",""นครราชสีมา!M560"")"),0)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IFERROR(__xludf.DUMMYFUNCTION("IMPORTRANGE(""https://docs.google.com/spreadsheets/d/1XL5vhW3sbDhbH9Cz0tuDiY8C3ctxq1tqvaCgkFb8cCA/edit#gid=346597447"",""นครราชสีมา!J561"")"),0)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IFERROR(__xludf.DUMMYFUNCTION("IMPORTRANGE(""https://docs.google.com/spreadsheets/d/1XL5vhW3sbDhbH9Cz0tuDiY8C3ctxq1tqvaCgkFb8cCA/edit#gid=346597447"",""นครราชสีมา!J562"")"),0)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IFERROR(__xludf.DUMMYFUNCTION("IMPORTRANGE(""https://docs.google.com/spreadsheets/d/1XL5vhW3sbDhbH9Cz0tuDiY8C3ctxq1tqvaCgkFb8cCA/edit#gid=346597447"",""นครราชสีมา!I563"")"),0)</f>
        <v>0</v>
      </c>
      <c r="J668" s="586">
        <f ca="1">IFERROR(__xludf.DUMMYFUNCTION("IMPORTRANGE(""https://docs.google.com/spreadsheets/d/1XL5vhW3sbDhbH9Cz0tuDiY8C3ctxq1tqvaCgkFb8cCA/edit#gid=346597447"",""นครราชสีมา!J563"")"),0)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IFERROR(__xludf.DUMMYFUNCTION("IMPORTRANGE(""https://docs.google.com/spreadsheets/d/1XL5vhW3sbDhbH9Cz0tuDiY8C3ctxq1tqvaCgkFb8cCA/edit#gid=346597447"",""นครราชสีมา!L563"")"),0)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IFERROR(__xludf.DUMMYFUNCTION("IMPORTRANGE(""https://docs.google.com/spreadsheets/d/1XL5vhW3sbDhbH9Cz0tuDiY8C3ctxq1tqvaCgkFb8cCA/edit#gid=346597447"",""นครราชสีมา!M563"")"),0)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IFERROR(__xludf.DUMMYFUNCTION("IMPORTRANGE(""https://docs.google.com/spreadsheets/d/1XL5vhW3sbDhbH9Cz0tuDiY8C3ctxq1tqvaCgkFb8cCA/edit#gid=346597447"",""นครราชสีมา!J564"")"),0)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IFERROR(__xludf.DUMMYFUNCTION("IMPORTRANGE(""https://docs.google.com/spreadsheets/d/1XL5vhW3sbDhbH9Cz0tuDiY8C3ctxq1tqvaCgkFb8cCA/edit#gid=346597447"",""นครราชสีมา!J565"")"),0)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IFERROR(__xludf.DUMMYFUNCTION("IMPORTRANGE(""https://docs.google.com/spreadsheets/d/1XL5vhW3sbDhbH9Cz0tuDiY8C3ctxq1tqvaCgkFb8cCA/edit#gid=346597447"",""นครราชสีมา!I566"")"),0)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IFERROR(__xludf.DUMMYFUNCTION("IMPORTRANGE(""https://docs.google.com/spreadsheets/d/1XL5vhW3sbDhbH9Cz0tuDiY8C3ctxq1tqvaCgkFb8cCA/edit#gid=346597447"",""นครราชสีมา!L566"")"),0)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IFERROR(__xludf.DUMMYFUNCTION("IMPORTRANGE(""https://docs.google.com/spreadsheets/d/1XL5vhW3sbDhbH9Cz0tuDiY8C3ctxq1tqvaCgkFb8cCA/edit#gid=346597447"",""นครราชสีมา!M566"")"),0)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IFERROR(__xludf.DUMMYFUNCTION("IMPORTRANGE(""https://docs.google.com/spreadsheets/d/1XL5vhW3sbDhbH9Cz0tuDiY8C3ctxq1tqvaCgkFb8cCA/edit#gid=346597447"",""นครราชสีมา!J567"")"),0)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IFERROR(__xludf.DUMMYFUNCTION("IMPORTRANGE(""https://docs.google.com/spreadsheets/d/1XL5vhW3sbDhbH9Cz0tuDiY8C3ctxq1tqvaCgkFb8cCA/edit#gid=346597447"",""นครราชสีมา!J568"")"),0)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IFERROR(__xludf.DUMMYFUNCTION("IMPORTRANGE(""https://docs.google.com/spreadsheets/d/1XL5vhW3sbDhbH9Cz0tuDiY8C3ctxq1tqvaCgkFb8cCA/edit#gid=346597447"",""นครราชสีมา!J569"")"),0)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IFERROR(__xludf.DUMMYFUNCTION("IMPORTRANGE(""https://docs.google.com/spreadsheets/d/1XL5vhW3sbDhbH9Cz0tuDiY8C3ctxq1tqvaCgkFb8cCA/edit#gid=346597447"",""นครราชสีมา!J570"")"),0)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IFERROR(__xludf.DUMMYFUNCTION("IMPORTRANGE(""https://docs.google.com/spreadsheets/d/1XL5vhW3sbDhbH9Cz0tuDiY8C3ctxq1tqvaCgkFb8cCA/edit#gid=346597447"",""นครราชสีมา!J571"")"),0)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IFERROR(__xludf.DUMMYFUNCTION("IMPORTRANGE(""https://docs.google.com/spreadsheets/d/1XL5vhW3sbDhbH9Cz0tuDiY8C3ctxq1tqvaCgkFb8cCA/edit#gid=346597447"",""นครราชสีมา!J572"")"),0)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7807706</v>
      </c>
      <c r="M8" s="23">
        <f t="shared" ca="1" si="0"/>
        <v>5060344</v>
      </c>
      <c r="N8" s="23">
        <f t="shared" ca="1" si="0"/>
        <v>5745062.3799999999</v>
      </c>
      <c r="O8" s="22">
        <f t="shared" ref="O8:O16" ca="1" si="1">IF(L8&gt;0,N8*100/L8,0)</f>
        <v>73.581950703574137</v>
      </c>
      <c r="P8" s="22">
        <f t="shared" ref="P8:P16" ca="1" si="2">IF(M8&gt;0,N8*100/M8,0)</f>
        <v>113.53106389605134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7807706</v>
      </c>
      <c r="M10" s="30">
        <f t="shared" ca="1" si="4"/>
        <v>5060344</v>
      </c>
      <c r="N10" s="30">
        <f t="shared" ca="1" si="4"/>
        <v>5745062.3799999999</v>
      </c>
      <c r="O10" s="29">
        <f t="shared" ca="1" si="1"/>
        <v>73.581950703574137</v>
      </c>
      <c r="P10" s="29">
        <f t="shared" ca="1" si="2"/>
        <v>113.53106389605134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6444207</v>
      </c>
      <c r="M12" s="38">
        <f t="shared" ca="1" si="6"/>
        <v>3696845</v>
      </c>
      <c r="N12" s="38">
        <f t="shared" ca="1" si="6"/>
        <v>4381563.38</v>
      </c>
      <c r="O12" s="38">
        <f t="shared" ca="1" si="1"/>
        <v>67.992281750105178</v>
      </c>
      <c r="P12" s="38">
        <f t="shared" ca="1" si="2"/>
        <v>118.52169566211188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4142807</v>
      </c>
      <c r="M14" s="38">
        <f t="shared" si="8"/>
        <v>0</v>
      </c>
      <c r="N14" s="38">
        <f t="shared" ca="1" si="8"/>
        <v>1459630</v>
      </c>
      <c r="O14" s="38">
        <f t="shared" ca="1" si="1"/>
        <v>35.232874715138792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1363499</v>
      </c>
      <c r="M16" s="38">
        <f t="shared" ca="1" si="10"/>
        <v>1363499</v>
      </c>
      <c r="N16" s="38">
        <f t="shared" ca="1" si="10"/>
        <v>1363499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5037861</v>
      </c>
      <c r="M18" s="23">
        <f t="shared" ca="1" si="11"/>
        <v>5060344</v>
      </c>
      <c r="N18" s="23">
        <f t="shared" ca="1" si="11"/>
        <v>4285432.38</v>
      </c>
      <c r="O18" s="22">
        <f t="shared" ref="O18:O20" ca="1" si="12">IF(L18&gt;0,N18*100/L18,0)</f>
        <v>85.06452202631236</v>
      </c>
      <c r="P18" s="22">
        <f t="shared" ref="P18:P26" ca="1" si="13">IF(M18&gt;0,N18*100/M18,0)</f>
        <v>84.686582177021961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5037861</v>
      </c>
      <c r="M20" s="30">
        <f t="shared" ca="1" si="15"/>
        <v>5060344</v>
      </c>
      <c r="N20" s="30">
        <f t="shared" ca="1" si="15"/>
        <v>4285432.38</v>
      </c>
      <c r="O20" s="29">
        <f t="shared" ca="1" si="12"/>
        <v>85.06452202631236</v>
      </c>
      <c r="P20" s="29">
        <f t="shared" ca="1" si="13"/>
        <v>84.686582177021961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3674362</v>
      </c>
      <c r="M22" s="41">
        <f t="shared" ca="1" si="18"/>
        <v>3696845</v>
      </c>
      <c r="N22" s="38">
        <f t="shared" ca="1" si="18"/>
        <v>2921933.38</v>
      </c>
      <c r="O22" s="38">
        <f t="shared" ca="1" si="17"/>
        <v>79.522196778651647</v>
      </c>
      <c r="P22" s="38">
        <f t="shared" ca="1" si="13"/>
        <v>79.038568833694683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1372962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1363499</v>
      </c>
      <c r="M26" s="49">
        <f t="shared" ca="1" si="22"/>
        <v>1363499</v>
      </c>
      <c r="N26" s="49">
        <f t="shared" ca="1" si="22"/>
        <v>1363499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2769845</v>
      </c>
      <c r="M28" s="23">
        <f t="shared" si="23"/>
        <v>0</v>
      </c>
      <c r="N28" s="23">
        <f t="shared" ca="1" si="23"/>
        <v>1459630</v>
      </c>
      <c r="O28" s="22">
        <f t="shared" ref="O28:O30" ca="1" si="24">IF(L28&gt;0,N28*100/L28,0)</f>
        <v>52.69717258546958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2769845</v>
      </c>
      <c r="M30" s="30">
        <f t="shared" si="27"/>
        <v>0</v>
      </c>
      <c r="N30" s="30">
        <f t="shared" ca="1" si="27"/>
        <v>1459630</v>
      </c>
      <c r="O30" s="29">
        <f t="shared" ca="1" si="24"/>
        <v>52.69717258546958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2769845</v>
      </c>
      <c r="M32" s="38">
        <f t="shared" si="30"/>
        <v>0</v>
      </c>
      <c r="N32" s="38">
        <f t="shared" ca="1" si="30"/>
        <v>1459630</v>
      </c>
      <c r="O32" s="38">
        <f t="shared" ca="1" si="29"/>
        <v>52.69717258546958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2769845</v>
      </c>
      <c r="M34" s="38">
        <f t="shared" si="32"/>
        <v>0</v>
      </c>
      <c r="N34" s="38">
        <f t="shared" ca="1" si="32"/>
        <v>1459630</v>
      </c>
      <c r="O34" s="38">
        <f t="shared" ca="1" si="29"/>
        <v>52.69717258546958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5037861</v>
      </c>
      <c r="M37" s="54">
        <f t="shared" ca="1" si="33"/>
        <v>5060344</v>
      </c>
      <c r="N37" s="54">
        <f t="shared" ca="1" si="33"/>
        <v>4285432.38</v>
      </c>
      <c r="O37" s="55">
        <f t="shared" ca="1" si="29"/>
        <v>85.06452202631236</v>
      </c>
      <c r="P37" s="55">
        <f t="shared" ca="1" si="25"/>
        <v>84.686582177021961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2008099</v>
      </c>
      <c r="M41" s="78">
        <f t="shared" ca="1" si="34"/>
        <v>1892299</v>
      </c>
      <c r="N41" s="78">
        <f t="shared" ca="1" si="34"/>
        <v>1710694.56</v>
      </c>
      <c r="O41" s="77">
        <f t="shared" ref="O41:O43" ca="1" si="35">IF(L41&gt;0,N41*100/L41,0)</f>
        <v>85.189752098875601</v>
      </c>
      <c r="P41" s="77">
        <f t="shared" ref="P41:P43" ca="1" si="36">IF(M41&gt;0,N41*100/M41,0)</f>
        <v>90.402973314470913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2008099</v>
      </c>
      <c r="M43" s="78">
        <f t="shared" ca="1" si="38"/>
        <v>1892299</v>
      </c>
      <c r="N43" s="78">
        <f t="shared" ca="1" si="38"/>
        <v>1710694.56</v>
      </c>
      <c r="O43" s="77">
        <f t="shared" ca="1" si="35"/>
        <v>85.189752098875601</v>
      </c>
      <c r="P43" s="77">
        <f t="shared" ca="1" si="36"/>
        <v>90.402973314470913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623">
        <f ca="1">IFERROR(__xludf.DUMMYFUNCTION("IMPORTRANGE(""https://docs.google.com/spreadsheets/d/1Yj_ptqi66GCucihVvJfMjLAmec39IyEx_6qawtMGysU/edit?usp=sharing"",""สบก!Q43"")"),913300)</f>
        <v>913300</v>
      </c>
      <c r="N45" s="623">
        <f ca="1">IFERROR(__xludf.DUMMYFUNCTION("IMPORTRANGE(""https://docs.google.com/spreadsheets/d/1Yj_ptqi66GCucihVvJfMjLAmec39IyEx_6qawtMGysU/edit?usp=sharing"",""สบก!R43"")"),731695.56)</f>
        <v>731695.56</v>
      </c>
      <c r="O45" s="624">
        <f ca="1">IF(L45&gt;0,N45*100/L45,0)</f>
        <v>71.100530560684092</v>
      </c>
      <c r="P45" s="624">
        <f ca="1">IF(M45&gt;0,N45*100/M45,0)</f>
        <v>80.115576480893466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IFERROR(__xludf.DUMMYFUNCTION("IMPORTRANGE(""https://docs.google.com/spreadsheets/d/1Yj_ptqi66GCucihVvJfMjLAmec39IyEx_6qawtMGysU/edit?usp=sharing"",""สบก!M43"")"),1029100)</f>
        <v>1029100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IFERROR(__xludf.DUMMYFUNCTION("IMPORTRANGE(""https://docs.google.com/spreadsheets/d/1Yj_ptqi66GCucihVvJfMjLAmec39IyEx_6qawtMGysU/edit?usp=sharing"",""สบก!O43"")"),978999)</f>
        <v>978999</v>
      </c>
      <c r="M49" s="626">
        <f ca="1">L49</f>
        <v>978999</v>
      </c>
      <c r="N49" s="623">
        <f ca="1">IFERROR(__xludf.DUMMYFUNCTION("IMPORTRANGE(""https://docs.google.com/spreadsheets/d/1Yj_ptqi66GCucihVvJfMjLAmec39IyEx_6qawtMGysU/edit?usp=sharing"",""สบก!S43"")"),978999)</f>
        <v>978999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703483</v>
      </c>
      <c r="N53" s="121">
        <f t="shared" ca="1" si="39"/>
        <v>545010</v>
      </c>
      <c r="O53" s="120">
        <f t="shared" ref="O53:O55" ca="1" si="40">IF(L53&gt;0,N53*100/L53,0)</f>
        <v>71.523622047244089</v>
      </c>
      <c r="P53" s="120">
        <f t="shared" ref="P53:P55" ca="1" si="41">IF(M53&gt;0,N53*100/M53,0)</f>
        <v>77.473087480436632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703483</v>
      </c>
      <c r="N55" s="121">
        <f t="shared" ca="1" si="43"/>
        <v>545010</v>
      </c>
      <c r="O55" s="120">
        <f t="shared" ca="1" si="40"/>
        <v>71.523622047244089</v>
      </c>
      <c r="P55" s="120">
        <f t="shared" ca="1" si="41"/>
        <v>77.473087480436632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623">
        <f ca="1">IFERROR(__xludf.DUMMYFUNCTION("IMPORTRANGE(""https://docs.google.com/spreadsheets/d/1Yj_ptqi66GCucihVvJfMjLAmec39IyEx_6qawtMGysU/edit?usp=sharing"",""สบก!Z43"")"),703483)</f>
        <v>703483</v>
      </c>
      <c r="N57" s="623">
        <f ca="1">IFERROR(__xludf.DUMMYFUNCTION("IMPORTRANGE(""https://docs.google.com/spreadsheets/d/1Yj_ptqi66GCucihVvJfMjLAmec39IyEx_6qawtMGysU/edit?usp=sharing"",""สบก!AA43"")"),545010)</f>
        <v>545010</v>
      </c>
      <c r="O57" s="624">
        <f ca="1">IF(L57&gt;0,N57*100/L57,0)</f>
        <v>71.523622047244089</v>
      </c>
      <c r="P57" s="624">
        <f ca="1">IF(M57&gt;0,N57*100/M57,0)</f>
        <v>77.473087480436632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IFERROR(__xludf.DUMMYFUNCTION("IMPORTRANGE(""https://docs.google.com/spreadsheets/d/1Yj_ptqi66GCucihVvJfMjLAmec39IyEx_6qawtMGysU/edit?usp=sharing"",""สบก!V43"")"),762000)</f>
        <v>762000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IFERROR(__xludf.DUMMYFUNCTION("IMPORTRANGE(""https://docs.google.com/spreadsheets/d/1Yj_ptqi66GCucihVvJfMjLAmec39IyEx_6qawtMGysU/edit?usp=sharing"",""สบก!X43"")"),0)</f>
        <v>0</v>
      </c>
      <c r="M61" s="626"/>
      <c r="N61" s="623">
        <f ca="1">IFERROR(__xludf.DUMMYFUNCTION("IMPORTRANGE(""https://docs.google.com/spreadsheets/d/1Yj_ptqi66GCucihVvJfMjLAmec39IyEx_6qawtMGysU/edit?usp=sharing"",""สบก!AB43"")"),0)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IFERROR(__xludf.DUMMYFUNCTION("IMPORTRANGE(""https://docs.google.com/spreadsheets/d/1Yj_ptqi66GCucihVvJfMjLAmec39IyEx_6qawtMGysU/edit?usp=sharing"",""สบก!AI43"")"),0)</f>
        <v>0</v>
      </c>
      <c r="N70" s="628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IFERROR(__xludf.DUMMYFUNCTION("IMPORTRANGE(""https://docs.google.com/spreadsheets/d/1Yj_ptqi66GCucihVvJfMjLAmec39IyEx_6qawtMGysU/edit?usp=sharing"",""สบก!AG43"")"),0)</f>
        <v>0</v>
      </c>
      <c r="M74" s="626"/>
      <c r="N74" s="623">
        <f ca="1">IFERROR(__xludf.DUMMYFUNCTION("IMPORTRANGE(""https://docs.google.com/spreadsheets/d/1Yj_ptqi66GCucihVvJfMjLAmec39IyEx_6qawtMGysU/edit?usp=sharing"",""สบก!AK43"")"),0)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181820</v>
      </c>
      <c r="O94" s="151">
        <f t="shared" ref="O94:O96" ca="1" si="53">IF(L94&gt;0,N94*100/L94,0)</f>
        <v>84.764568764568764</v>
      </c>
      <c r="P94" s="151">
        <f t="shared" ref="P94:P96" ca="1" si="54">IF(M94&gt;0,N94*100/M94,0)</f>
        <v>84.764568764568764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181820</v>
      </c>
      <c r="O96" s="156">
        <f t="shared" ca="1" si="53"/>
        <v>84.764568764568764</v>
      </c>
      <c r="P96" s="156">
        <f t="shared" ca="1" si="54"/>
        <v>84.764568764568764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IFERROR(__xludf.DUMMYFUNCTION("IMPORTRANGE(""https://docs.google.com/spreadsheets/d/1Yj_ptqi66GCucihVvJfMjLAmec39IyEx_6qawtMGysU/edit?usp=sharing"",""สบก!AR43"")"),122100)</f>
        <v>122100</v>
      </c>
      <c r="N98" s="628">
        <f ca="1">IFERROR(__xludf.DUMMYFUNCTION("IMPORTRANGE(""https://docs.google.com/spreadsheets/d/1Yj_ptqi66GCucihVvJfMjLAmec39IyEx_6qawtMGysU/edit?usp=sharing"",""สบก!AS43"")"),89420)</f>
        <v>89420</v>
      </c>
      <c r="O98" s="169">
        <f ca="1">IF(L98&gt;0,N98*100/L98,0)</f>
        <v>73.235053235053229</v>
      </c>
      <c r="P98" s="169">
        <f ca="1">IF(M98&gt;0,N98*100/M98,0)</f>
        <v>73.235053235053229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IFERROR(__xludf.DUMMYFUNCTION("IMPORTRANGE(""https://docs.google.com/spreadsheets/d/1Yj_ptqi66GCucihVvJfMjLAmec39IyEx_6qawtMGysU/edit?usp=sharing"",""สบก!AP43"")"),92400)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IFERROR(__xludf.DUMMYFUNCTION("IMPORTRANGE(""https://docs.google.com/spreadsheets/d/1Yj_ptqi66GCucihVvJfMjLAmec39IyEx_6qawtMGysU/edit?usp=sharing"",""สบก!AT43"")"),92400)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10152</v>
      </c>
      <c r="M118" s="152">
        <f t="shared" ca="1" si="58"/>
        <v>10152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10152</v>
      </c>
      <c r="M120" s="157">
        <f t="shared" ca="1" si="62"/>
        <v>10152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10152</v>
      </c>
      <c r="M122" s="627">
        <f ca="1">IFERROR(__xludf.DUMMYFUNCTION("IMPORTRANGE(""https://docs.google.com/spreadsheets/d/1Yj_ptqi66GCucihVvJfMjLAmec39IyEx_6qawtMGysU/edit?usp=sharing"",""สบก!BA43"")"),10152)</f>
        <v>10152</v>
      </c>
      <c r="N122" s="628">
        <f ca="1">IFERROR(__xludf.DUMMYFUNCTION("IMPORTRANGE(""https://docs.google.com/spreadsheets/d/1Yj_ptqi66GCucihVvJfMjLAmec39IyEx_6qawtMGysU/edit?usp=sharing"",""สบก!BB43"")"),0)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IFERROR(__xludf.DUMMYFUNCTION("IMPORTRANGE(""https://docs.google.com/spreadsheets/d/1Yj_ptqi66GCucihVvJfMjLAmec39IyEx_6qawtMGysU/edit?usp=sharing"",""สบก!AX43"")"),10152)</f>
        <v>10152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IFERROR(__xludf.DUMMYFUNCTION("IMPORTRANGE(""https://docs.google.com/spreadsheets/d/1Yj_ptqi66GCucihVvJfMjLAmec39IyEx_6qawtMGysU/edit?usp=sharing"",""สบก!AY43"")"),0)</f>
        <v>0</v>
      </c>
      <c r="M126" s="626"/>
      <c r="N126" s="623">
        <f ca="1">IFERROR(__xludf.DUMMYFUNCTION("IMPORTRANGE(""https://docs.google.com/spreadsheets/d/1Yj_ptqi66GCucihVvJfMjLAmec39IyEx_6qawtMGysU/edit?usp=sharing"",""สบก!BC43"")"),0)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176500</v>
      </c>
      <c r="N140" s="152">
        <f t="shared" ca="1" si="64"/>
        <v>134030</v>
      </c>
      <c r="O140" s="151">
        <f t="shared" ref="O140:O142" ca="1" si="65">IF(L140&gt;0,N140*100/L140,0)</f>
        <v>75.937677053824359</v>
      </c>
      <c r="P140" s="151">
        <f t="shared" ref="P140:P142" ca="1" si="66">IF(M140&gt;0,N140*100/M140,0)</f>
        <v>75.937677053824359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176500</v>
      </c>
      <c r="N142" s="157">
        <f t="shared" ca="1" si="68"/>
        <v>134030</v>
      </c>
      <c r="O142" s="156">
        <f t="shared" ca="1" si="65"/>
        <v>75.937677053824359</v>
      </c>
      <c r="P142" s="156">
        <f t="shared" ca="1" si="66"/>
        <v>75.937677053824359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7">
        <f ca="1">IFERROR(__xludf.DUMMYFUNCTION("IMPORTRANGE(""https://docs.google.com/spreadsheets/d/1Yj_ptqi66GCucihVvJfMjLAmec39IyEx_6qawtMGysU/edit?usp=sharing"",""สบก!BJ43"")"),176500)</f>
        <v>176500</v>
      </c>
      <c r="N144" s="628">
        <f ca="1">IFERROR(__xludf.DUMMYFUNCTION("IMPORTRANGE(""https://docs.google.com/spreadsheets/d/1Yj_ptqi66GCucihVvJfMjLAmec39IyEx_6qawtMGysU/edit?usp=sharing"",""สบก!BK43"")"),134030)</f>
        <v>134030</v>
      </c>
      <c r="O144" s="169">
        <f ca="1">IF(L144&gt;0,N144*100/L144,0)</f>
        <v>75.937677053824359</v>
      </c>
      <c r="P144" s="169">
        <f ca="1">IF(M144&gt;0,N144*100/M144,0)</f>
        <v>75.937677053824359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IFERROR(__xludf.DUMMYFUNCTION("IMPORTRANGE(""https://docs.google.com/spreadsheets/d/1Yj_ptqi66GCucihVvJfMjLAmec39IyEx_6qawtMGysU/edit?usp=sharing"",""สบก!BH43"")"),0)</f>
        <v>0</v>
      </c>
      <c r="M148" s="626"/>
      <c r="N148" s="623">
        <f ca="1">IFERROR(__xludf.DUMMYFUNCTION("IMPORTRANGE(""https://docs.google.com/spreadsheets/d/1Yj_ptqi66GCucihVvJfMjLAmec39IyEx_6qawtMGysU/edit?usp=sharing"",""สบก!BL43"")"),0)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IFERROR(__xludf.DUMMYFUNCTION("IMPORTRANGE(""https://docs.google.com/spreadsheets/d/1XL5vhW3sbDhbH9Cz0tuDiY8C3ctxq1tqvaCgkFb8cCA/edit?usp=sharing"",""บึงกาฬ!J84"")"),79)</f>
        <v>79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IFERROR(__xludf.DUMMYFUNCTION("IMPORTRANGE(""https://docs.google.com/spreadsheets/d/1XL5vhW3sbDhbH9Cz0tuDiY8C3ctxq1tqvaCgkFb8cCA/edit?usp=sharing"",""บึงกาฬ!J85"")"),79)</f>
        <v>79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IFERROR(__xludf.DUMMYFUNCTION("IMPORTRANGE(""https://docs.google.com/spreadsheets/d/1XL5vhW3sbDhbH9Cz0tuDiY8C3ctxq1tqvaCgkFb8cCA/edit?usp=sharing"",""บึงกาฬ!I89"")"),5)</f>
        <v>5</v>
      </c>
      <c r="J164" s="285">
        <f ca="1">IFERROR(__xludf.DUMMYFUNCTION("IMPORTRANGE(""https://docs.google.com/spreadsheets/d/1XL5vhW3sbDhbH9Cz0tuDiY8C3ctxq1tqvaCgkFb8cCA/edit?usp=sharing"",""บึงกาฬ!J89"")"),5)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IFERROR(__xludf.DUMMYFUNCTION("IMPORTRANGE(""https://docs.google.com/spreadsheets/d/1XL5vhW3sbDhbH9Cz0tuDiY8C3ctxq1tqvaCgkFb8cCA/edit?usp=sharing"",""บึงกาฬ!I101"")"),6)</f>
        <v>6</v>
      </c>
      <c r="J176" s="285">
        <f ca="1">IFERROR(__xludf.DUMMYFUNCTION("IMPORTRANGE(""https://docs.google.com/spreadsheets/d/1XL5vhW3sbDhbH9Cz0tuDiY8C3ctxq1tqvaCgkFb8cCA/edit?usp=sharing"",""บึงกาฬ!J101"")"),6)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IFERROR(__xludf.DUMMYFUNCTION("IMPORTRANGE(""https://docs.google.com/spreadsheets/d/1XL5vhW3sbDhbH9Cz0tuDiY8C3ctxq1tqvaCgkFb8cCA/edit?usp=sharing"",""บึงกาฬ!I114"")"),20000)</f>
        <v>20000</v>
      </c>
      <c r="J189" s="285">
        <f ca="1">IFERROR(__xludf.DUMMYFUNCTION("IMPORTRANGE(""https://docs.google.com/spreadsheets/d/1XL5vhW3sbDhbH9Cz0tuDiY8C3ctxq1tqvaCgkFb8cCA/edit?usp=sharing"",""บึงกาฬ!J114"")"),20000)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IFERROR(__xludf.DUMMYFUNCTION("IMPORTRANGE(""https://docs.google.com/spreadsheets/d/1XL5vhW3sbDhbH9Cz0tuDiY8C3ctxq1tqvaCgkFb8cCA/edit?usp=sharing"",""บึงกาฬ!J128"")"),0)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IFERROR(__xludf.DUMMYFUNCTION("IMPORTRANGE(""https://docs.google.com/spreadsheets/d/1XL5vhW3sbDhbH9Cz0tuDiY8C3ctxq1tqvaCgkFb8cCA/edit?usp=sharing"",""บึงกาฬ!I129"")"),0)</f>
        <v>0</v>
      </c>
      <c r="J204" s="285">
        <f ca="1">IFERROR(__xludf.DUMMYFUNCTION("IMPORTRANGE(""https://docs.google.com/spreadsheets/d/1XL5vhW3sbDhbH9Cz0tuDiY8C3ctxq1tqvaCgkFb8cCA/edit?usp=sharing"",""บึงกาฬ!J129"")"),0)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20196</v>
      </c>
      <c r="O220" s="151">
        <f t="shared" ref="O220:O222" ca="1" si="73">IF(L220&gt;0,N220*100/L220,0)</f>
        <v>99.930727362691741</v>
      </c>
      <c r="P220" s="151">
        <f t="shared" ref="P220:P222" ca="1" si="74">IF(M220&gt;0,N220*100/M220,0)</f>
        <v>99.930727362691741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20196</v>
      </c>
      <c r="O222" s="156">
        <f t="shared" ca="1" si="73"/>
        <v>99.930727362691741</v>
      </c>
      <c r="P222" s="156">
        <f t="shared" ca="1" si="74"/>
        <v>99.930727362691741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IFERROR(__xludf.DUMMYFUNCTION("IMPORTRANGE(""https://docs.google.com/spreadsheets/d/1Yj_ptqi66GCucihVvJfMjLAmec39IyEx_6qawtMGysU/edit?usp=sharing"",""สบก!BS43"")"),20210)</f>
        <v>20210</v>
      </c>
      <c r="N224" s="628">
        <f ca="1">IFERROR(__xludf.DUMMYFUNCTION("IMPORTRANGE(""https://docs.google.com/spreadsheets/d/1Yj_ptqi66GCucihVvJfMjLAmec39IyEx_6qawtMGysU/edit?usp=sharing"",""สบก!BT43"")"),20196)</f>
        <v>20196</v>
      </c>
      <c r="O224" s="169">
        <f ca="1">IF(L224&gt;0,N224*100/L224,0)</f>
        <v>99.930727362691741</v>
      </c>
      <c r="P224" s="169">
        <f ca="1">IF(M224&gt;0,N224*100/M224,0)</f>
        <v>99.930727362691741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IFERROR(__xludf.DUMMYFUNCTION("IMPORTRANGE(""https://docs.google.com/spreadsheets/d/1Yj_ptqi66GCucihVvJfMjLAmec39IyEx_6qawtMGysU/edit?usp=sharing"",""สบก!BP43"")"),20210)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IFERROR(__xludf.DUMMYFUNCTION("IMPORTRANGE(""https://docs.google.com/spreadsheets/d/1Yj_ptqi66GCucihVvJfMjLAmec39IyEx_6qawtMGysU/edit?usp=sharing"",""สบก!BQ43"")"),0)</f>
        <v>0</v>
      </c>
      <c r="M228" s="626"/>
      <c r="N228" s="623">
        <f ca="1">IFERROR(__xludf.DUMMYFUNCTION("IMPORTRANGE(""https://docs.google.com/spreadsheets/d/1Yj_ptqi66GCucihVvJfMjLAmec39IyEx_6qawtMGysU/edit?usp=sharing"",""สบก!BU43"")"),0)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IFERROR(__xludf.DUMMYFUNCTION("IMPORTRANGE(""https://docs.google.com/spreadsheets/d/1XL5vhW3sbDhbH9Cz0tuDiY8C3ctxq1tqvaCgkFb8cCA/edit?usp=sharing"",""บึงกาฬ!I169"")"),0)</f>
        <v>0</v>
      </c>
      <c r="J249" s="317">
        <f ca="1">IFERROR(__xludf.DUMMYFUNCTION("IMPORTRANGE(""https://docs.google.com/spreadsheets/d/1XL5vhW3sbDhbH9Cz0tuDiY8C3ctxq1tqvaCgkFb8cCA/edit?usp=sharing"",""บึงกาฬ!J169"")"),0)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IFERROR(__xludf.DUMMYFUNCTION("IMPORTRANGE(""https://docs.google.com/spreadsheets/d/1Yj_ptqi66GCucihVvJfMjLAmec39IyEx_6qawtMGysU/edit?usp=sharing"",""สบก!CB43"")"),0)</f>
        <v>0</v>
      </c>
      <c r="N254" s="628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IFERROR(__xludf.DUMMYFUNCTION("IMPORTRANGE(""https://docs.google.com/spreadsheets/d/1Yj_ptqi66GCucihVvJfMjLAmec39IyEx_6qawtMGysU/edit?usp=sharing"",""สบก!BZ43"")"),0)</f>
        <v>0</v>
      </c>
      <c r="M258" s="626"/>
      <c r="N258" s="623">
        <f ca="1">IFERROR(__xludf.DUMMYFUNCTION("IMPORTRANGE(""https://docs.google.com/spreadsheets/d/1Yj_ptqi66GCucihVvJfMjLAmec39IyEx_6qawtMGysU/edit?usp=sharing"",""สบก!CD43"")"),0)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IFERROR(__xludf.DUMMYFUNCTION("IMPORTRANGE(""https://docs.google.com/spreadsheets/d/1XL5vhW3sbDhbH9Cz0tuDiY8C3ctxq1tqvaCgkFb8cCA/edit?usp=sharing"",""บึงกาฬ!J184"")"),0)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IFERROR(__xludf.DUMMYFUNCTION("IMPORTRANGE(""https://docs.google.com/spreadsheets/d/1XL5vhW3sbDhbH9Cz0tuDiY8C3ctxq1tqvaCgkFb8cCA/edit?usp=sharing"",""บึงกาฬ!I185"")"),0)</f>
        <v>0</v>
      </c>
      <c r="J270" s="317">
        <f ca="1">IFERROR(__xludf.DUMMYFUNCTION("IMPORTRANGE(""https://docs.google.com/spreadsheets/d/1XL5vhW3sbDhbH9Cz0tuDiY8C3ctxq1tqvaCgkFb8cCA/edit?usp=sharing"",""บึงกาฬ!J185"")"),0)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IFERROR(__xludf.DUMMYFUNCTION("IMPORTRANGE(""https://docs.google.com/spreadsheets/d/1Yj_ptqi66GCucihVvJfMjLAmec39IyEx_6qawtMGysU/edit?usp=sharing"",""สบก!CK43"")"),0)</f>
        <v>0</v>
      </c>
      <c r="N275" s="628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IFERROR(__xludf.DUMMYFUNCTION("IMPORTRANGE(""https://docs.google.com/spreadsheets/d/1Yj_ptqi66GCucihVvJfMjLAmec39IyEx_6qawtMGysU/edit?usp=sharing"",""สบก!CI43"")"),0)</f>
        <v>0</v>
      </c>
      <c r="M279" s="626"/>
      <c r="N279" s="623">
        <f ca="1">IFERROR(__xludf.DUMMYFUNCTION("IMPORTRANGE(""https://docs.google.com/spreadsheets/d/1Yj_ptqi66GCucihVvJfMjLAmec39IyEx_6qawtMGysU/edit?usp=sharing"",""สบก!CM43"")"),0)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IFERROR(__xludf.DUMMYFUNCTION("IMPORTRANGE(""https://docs.google.com/spreadsheets/d/1XL5vhW3sbDhbH9Cz0tuDiY8C3ctxq1tqvaCgkFb8cCA/edit?usp=sharing"",""บึงกาฬ!I199"")"),0)</f>
        <v>0</v>
      </c>
      <c r="J289" s="317">
        <f ca="1">IFERROR(__xludf.DUMMYFUNCTION("IMPORTRANGE(""https://docs.google.com/spreadsheets/d/1XL5vhW3sbDhbH9Cz0tuDiY8C3ctxq1tqvaCgkFb8cCA/edit?usp=sharing"",""บึงกาฬ!J199"")"),0)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IFERROR(__xludf.DUMMYFUNCTION("IMPORTRANGE(""https://docs.google.com/spreadsheets/d/1Yj_ptqi66GCucihVvJfMjLAmec39IyEx_6qawtMGysU/edit?usp=sharing"",""สบก!CT43"")"),0)</f>
        <v>0</v>
      </c>
      <c r="N294" s="628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IFERROR(__xludf.DUMMYFUNCTION("IMPORTRANGE(""https://docs.google.com/spreadsheets/d/1Yj_ptqi66GCucihVvJfMjLAmec39IyEx_6qawtMGysU/edit?usp=sharing"",""สบก!CR43"")"),0)</f>
        <v>0</v>
      </c>
      <c r="M298" s="626"/>
      <c r="N298" s="623">
        <f ca="1">IFERROR(__xludf.DUMMYFUNCTION("IMPORTRANGE(""https://docs.google.com/spreadsheets/d/1Yj_ptqi66GCucihVvJfMjLAmec39IyEx_6qawtMGysU/edit?usp=sharing"",""สบก!CV43"")"),0)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IFERROR(__xludf.DUMMYFUNCTION("IMPORTRANGE(""https://docs.google.com/spreadsheets/d/1XL5vhW3sbDhbH9Cz0tuDiY8C3ctxq1tqvaCgkFb8cCA/edit?usp=sharing"",""บึงกาฬ!I214"")"),0)</f>
        <v>0</v>
      </c>
      <c r="J309" s="334">
        <f ca="1">IFERROR(__xludf.DUMMYFUNCTION("IMPORTRANGE(""https://docs.google.com/spreadsheets/d/1XL5vhW3sbDhbH9Cz0tuDiY8C3ctxq1tqvaCgkFb8cCA/edit?usp=sharing"",""บึงกาฬ!J214"")"),0)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IFERROR(__xludf.DUMMYFUNCTION("IMPORTRANGE(""https://docs.google.com/spreadsheets/d/1Yj_ptqi66GCucihVvJfMjLAmec39IyEx_6qawtMGysU/edit?usp=sharing"",""สบก!DC43"")"),0)</f>
        <v>0</v>
      </c>
      <c r="N314" s="628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IFERROR(__xludf.DUMMYFUNCTION("IMPORTRANGE(""https://docs.google.com/spreadsheets/d/1Yj_ptqi66GCucihVvJfMjLAmec39IyEx_6qawtMGysU/edit?usp=sharing"",""สบก!DA43"")"),0)</f>
        <v>0</v>
      </c>
      <c r="M318" s="626"/>
      <c r="N318" s="623">
        <f ca="1">IFERROR(__xludf.DUMMYFUNCTION("IMPORTRANGE(""https://docs.google.com/spreadsheets/d/1Yj_ptqi66GCucihVvJfMjLAmec39IyEx_6qawtMGysU/edit?usp=sharing"",""สบก!DE43"")"),0)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IFERROR(__xludf.DUMMYFUNCTION("IMPORTRANGE(""https://docs.google.com/spreadsheets/d/1XL5vhW3sbDhbH9Cz0tuDiY8C3ctxq1tqvaCgkFb8cCA/edit?usp=sharing"",""บึงกาฬ!I228"")"),690)</f>
        <v>690</v>
      </c>
      <c r="J328" s="340">
        <f ca="1">IFERROR(__xludf.DUMMYFUNCTION("IMPORTRANGE(""https://docs.google.com/spreadsheets/d/1XL5vhW3sbDhbH9Cz0tuDiY8C3ctxq1tqvaCgkFb8cCA/edit?usp=sharing"",""บึงกาฬ!J228"")"),409)</f>
        <v>409</v>
      </c>
      <c r="K328" s="318">
        <f ca="1">IF(I328&gt;0,J328*100/I328,0)</f>
        <v>59.275362318840578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1846400</v>
      </c>
      <c r="M329" s="152">
        <f t="shared" ca="1" si="98"/>
        <v>2043200</v>
      </c>
      <c r="N329" s="152">
        <f t="shared" ca="1" si="98"/>
        <v>1693681.82</v>
      </c>
      <c r="O329" s="151">
        <f t="shared" ref="O329:O331" ca="1" si="99">IF(L329&gt;0,N329*100/L329,0)</f>
        <v>91.728868067590994</v>
      </c>
      <c r="P329" s="151">
        <f t="shared" ref="P329:P331" ca="1" si="100">IF(M329&gt;0,N329*100/M329,0)</f>
        <v>82.893589467501954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1846400</v>
      </c>
      <c r="M331" s="157">
        <f t="shared" ca="1" si="102"/>
        <v>2043200</v>
      </c>
      <c r="N331" s="157">
        <f t="shared" ca="1" si="102"/>
        <v>1693681.82</v>
      </c>
      <c r="O331" s="156">
        <f t="shared" ca="1" si="99"/>
        <v>91.728868067590994</v>
      </c>
      <c r="P331" s="156">
        <f t="shared" ca="1" si="100"/>
        <v>82.893589467501954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1554300</v>
      </c>
      <c r="M333" s="627">
        <f ca="1">IFERROR(__xludf.DUMMYFUNCTION("IMPORTRANGE(""https://docs.google.com/spreadsheets/d/1Yj_ptqi66GCucihVvJfMjLAmec39IyEx_6qawtMGysU/edit?usp=sharing"",""สบก!DL43"")"),1751100)</f>
        <v>1751100</v>
      </c>
      <c r="N333" s="628">
        <f ca="1">IFERROR(__xludf.DUMMYFUNCTION("IMPORTRANGE(""https://docs.google.com/spreadsheets/d/1Yj_ptqi66GCucihVvJfMjLAmec39IyEx_6qawtMGysU/edit?usp=sharing"",""สบก!DM43"")"),1401581.82)</f>
        <v>1401581.82</v>
      </c>
      <c r="O333" s="169">
        <f ca="1">IF(L333&gt;0,N333*100/L333,0)</f>
        <v>90.174472109631338</v>
      </c>
      <c r="P333" s="169">
        <f ca="1">IF(M333&gt;0,N333*100/M333,0)</f>
        <v>80.040078807606648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IFERROR(__xludf.DUMMYFUNCTION("IMPORTRANGE(""https://docs.google.com/spreadsheets/d/1Yj_ptqi66GCucihVvJfMjLAmec39IyEx_6qawtMGysU/edit?usp=sharing"",""สบก!DI43"")"),1044000)</f>
        <v>1044000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IFERROR(__xludf.DUMMYFUNCTION("IMPORTRANGE(""https://docs.google.com/spreadsheets/d/1Yj_ptqi66GCucihVvJfMjLAmec39IyEx_6qawtMGysU/edit?usp=sharing"",""สบก!DJ43"")"),292100)</f>
        <v>292100</v>
      </c>
      <c r="M337" s="626">
        <f ca="1">L337</f>
        <v>292100</v>
      </c>
      <c r="N337" s="623">
        <f ca="1">IFERROR(__xludf.DUMMYFUNCTION("IMPORTRANGE(""https://docs.google.com/spreadsheets/d/1Yj_ptqi66GCucihVvJfMjLAmec39IyEx_6qawtMGysU/edit?usp=sharing"",""สบก!DN43"")"),292100)</f>
        <v>292100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IFERROR(__xludf.DUMMYFUNCTION("IMPORTRANGE(""https://docs.google.com/spreadsheets/d/1XL5vhW3sbDhbH9Cz0tuDiY8C3ctxq1tqvaCgkFb8cCA/edit?usp=sharing"",""บึงกาฬ!J234"")"),781)</f>
        <v>781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IFERROR(__xludf.DUMMYFUNCTION("IMPORTRANGE(""https://docs.google.com/spreadsheets/d/1XL5vhW3sbDhbH9Cz0tuDiY8C3ctxq1tqvaCgkFb8cCA/edit?usp=sharing"",""บึงกาฬ!J235"")"),7870.49)</f>
        <v>7870.49</v>
      </c>
      <c r="K340" s="343">
        <f t="shared" ca="1" si="103"/>
        <v>98.381124999999997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IFERROR(__xludf.DUMMYFUNCTION("IMPORTRANGE(""https://docs.google.com/spreadsheets/d/1XL5vhW3sbDhbH9Cz0tuDiY8C3ctxq1tqvaCgkFb8cCA/edit?usp=sharing"",""บึงกาฬ!J236"")"),730)</f>
        <v>730</v>
      </c>
      <c r="K341" s="343">
        <f t="shared" ca="1" si="103"/>
        <v>105.79710144927536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IFERROR(__xludf.DUMMYFUNCTION("IMPORTRANGE(""https://docs.google.com/spreadsheets/d/1XL5vhW3sbDhbH9Cz0tuDiY8C3ctxq1tqvaCgkFb8cCA/edit?usp=sharing"",""บึงกาฬ!J237"")"),8967.48)</f>
        <v>8967.48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IFERROR(__xludf.DUMMYFUNCTION("IMPORTRANGE(""https://docs.google.com/spreadsheets/d/1XL5vhW3sbDhbH9Cz0tuDiY8C3ctxq1tqvaCgkFb8cCA/edit?usp=sharing"",""บึงกาฬ!J240"")"),409)</f>
        <v>409</v>
      </c>
      <c r="K345" s="343">
        <f t="shared" ca="1" si="103"/>
        <v>59.275362318840578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IFERROR(__xludf.DUMMYFUNCTION("IMPORTRANGE(""https://docs.google.com/spreadsheets/d/1XL5vhW3sbDhbH9Cz0tuDiY8C3ctxq1tqvaCgkFb8cCA/edit?usp=sharing"",""บึงกาฬ!J241"")"),5894.73)</f>
        <v>5894.73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IFERROR(__xludf.DUMMYFUNCTION("IMPORTRANGE(""https://docs.google.com/spreadsheets/d/1XL5vhW3sbDhbH9Cz0tuDiY8C3ctxq1tqvaCgkFb8cCA/edit?usp=sharing"",""บึงกาฬ!L242"")"),2769845)</f>
        <v>2769845</v>
      </c>
      <c r="M347" s="358"/>
      <c r="N347" s="358">
        <f ca="1">IFERROR(__xludf.DUMMYFUNCTION("IMPORTRANGE(""https://docs.google.com/spreadsheets/d/1XL5vhW3sbDhbH9Cz0tuDiY8C3ctxq1tqvaCgkFb8cCA/edit?usp=sharing"",""บึงกาฬ!M242"")"),1459630)</f>
        <v>1459630</v>
      </c>
      <c r="O347" s="358">
        <f ca="1">+IF(L347&gt;0,N347*100/L347,0)</f>
        <v>52.69717258546958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IFERROR(__xludf.DUMMYFUNCTION("IMPORTRANGE(""https://docs.google.com/spreadsheets/d/1XL5vhW3sbDhbH9Cz0tuDiY8C3ctxq1tqvaCgkFb8cCA/edit?usp=sharing"",""บึงกาฬ!M244"")"),379421)</f>
        <v>379421</v>
      </c>
      <c r="O349" s="373">
        <f ca="1">+IF(L349&gt;0,N349*100/L349,0)</f>
        <v>83.90928391348578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IFERROR(__xludf.DUMMYFUNCTION("IMPORTRANGE(""https://docs.google.com/spreadsheets/d/1XL5vhW3sbDhbH9Cz0tuDiY8C3ctxq1tqvaCgkFb8cCA/edit?usp=sharing"",""บึงกาฬ!L247"")"),452180)</f>
        <v>452180</v>
      </c>
      <c r="M352" s="165"/>
      <c r="N352" s="164">
        <f ca="1">IFERROR(__xludf.DUMMYFUNCTION("IMPORTRANGE(""https://docs.google.com/spreadsheets/d/1XL5vhW3sbDhbH9Cz0tuDiY8C3ctxq1tqvaCgkFb8cCA/edit?usp=sharing"",""บึงกาฬ!M247"")"),379421)</f>
        <v>379421</v>
      </c>
      <c r="O352" s="165">
        <f t="shared" ca="1" si="105"/>
        <v>83.90928391348578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IFERROR(__xludf.DUMMYFUNCTION("IMPORTRANGE(""https://docs.google.com/spreadsheets/d/1XL5vhW3sbDhbH9Cz0tuDiY8C3ctxq1tqvaCgkFb8cCA/edit?usp=sharing"",""บึงกาฬ!L249"")"),452180)</f>
        <v>452180</v>
      </c>
      <c r="M354" s="169"/>
      <c r="N354" s="168">
        <f ca="1">IFERROR(__xludf.DUMMYFUNCTION("IMPORTRANGE(""https://docs.google.com/spreadsheets/d/1XL5vhW3sbDhbH9Cz0tuDiY8C3ctxq1tqvaCgkFb8cCA/edit?usp=sharing"",""บึงกาฬ!M249"")"),379421)</f>
        <v>379421</v>
      </c>
      <c r="O354" s="169">
        <f t="shared" ca="1" si="105"/>
        <v>83.90928391348578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IFERROR(__xludf.DUMMYFUNCTION("IMPORTRANGE(""https://docs.google.com/spreadsheets/d/1XL5vhW3sbDhbH9Cz0tuDiY8C3ctxq1tqvaCgkFb8cCA/edit?usp=sharing"",""บึงกาฬ!M250"")"),107988)</f>
        <v>107988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IFERROR(__xludf.DUMMYFUNCTION("IMPORTRANGE(""https://docs.google.com/spreadsheets/d/1XL5vhW3sbDhbH9Cz0tuDiY8C3ctxq1tqvaCgkFb8cCA/edit?usp=sharing"",""บึงกาฬ!M251"")"),152000)</f>
        <v>152000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IFERROR(__xludf.DUMMYFUNCTION("IMPORTRANGE(""https://docs.google.com/spreadsheets/d/1XL5vhW3sbDhbH9Cz0tuDiY8C3ctxq1tqvaCgkFb8cCA/edit?usp=sharing"",""บึงกาฬ!M252"")"),95204)</f>
        <v>95204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IFERROR(__xludf.DUMMYFUNCTION("IMPORTRANGE(""https://docs.google.com/spreadsheets/d/1XL5vhW3sbDhbH9Cz0tuDiY8C3ctxq1tqvaCgkFb8cCA/edit?usp=sharing"",""บึงกาฬ!M253"")"),24229)</f>
        <v>24229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IFERROR(__xludf.DUMMYFUNCTION("IMPORTRANGE(""https://docs.google.com/spreadsheets/d/1XL5vhW3sbDhbH9Cz0tuDiY8C3ctxq1tqvaCgkFb8cCA/edit?usp=sharing"",""บึงกาฬ!J271"")"),90)</f>
        <v>90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IFERROR(__xludf.DUMMYFUNCTION("IMPORTRANGE(""https://docs.google.com/spreadsheets/d/1XL5vhW3sbDhbH9Cz0tuDiY8C3ctxq1tqvaCgkFb8cCA/edit?usp=sharing"",""บึงกาฬ!M275"")"),358355)</f>
        <v>358355</v>
      </c>
      <c r="O380" s="373">
        <f ca="1">+IF(L380&gt;0,N380*100/L380,0)</f>
        <v>34.841811535021193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IFERROR(__xludf.DUMMYFUNCTION("IMPORTRANGE(""https://docs.google.com/spreadsheets/d/1XL5vhW3sbDhbH9Cz0tuDiY8C3ctxq1tqvaCgkFb8cCA/edit?usp=sharing"",""บึงกาฬ!M278"")"),358355)</f>
        <v>358355</v>
      </c>
      <c r="O383" s="165">
        <f t="shared" ca="1" si="109"/>
        <v>34.841811535021193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IFERROR(__xludf.DUMMYFUNCTION("IMPORTRANGE(""https://docs.google.com/spreadsheets/d/1XL5vhW3sbDhbH9Cz0tuDiY8C3ctxq1tqvaCgkFb8cCA/edit?usp=sharing"",""บึงกาฬ!M280"")"),358355)</f>
        <v>358355</v>
      </c>
      <c r="O385" s="169">
        <f t="shared" ca="1" si="109"/>
        <v>34.841811535021193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IFERROR(__xludf.DUMMYFUNCTION("IMPORTRANGE(""https://docs.google.com/spreadsheets/d/1XL5vhW3sbDhbH9Cz0tuDiY8C3ctxq1tqvaCgkFb8cCA/edit?usp=sharing"",""บึงกาฬ!M283"")"),116070)</f>
        <v>116070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IFERROR(__xludf.DUMMYFUNCTION("IMPORTRANGE(""https://docs.google.com/spreadsheets/d/1XL5vhW3sbDhbH9Cz0tuDiY8C3ctxq1tqvaCgkFb8cCA/edit?usp=sharing"",""บึงกาฬ!M284"")"),44285)</f>
        <v>44285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IFERROR(__xludf.DUMMYFUNCTION("IMPORTRANGE(""https://docs.google.com/spreadsheets/d/1XL5vhW3sbDhbH9Cz0tuDiY8C3ctxq1tqvaCgkFb8cCA/edit?usp=sharing"",""บึงกาฬ!M296"")"),142049)</f>
        <v>142049</v>
      </c>
      <c r="O401" s="373">
        <f ca="1">+IF(L401&gt;0,N401*100/L401,0)</f>
        <v>98.263004980630882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IFERROR(__xludf.DUMMYFUNCTION("IMPORTRANGE(""https://docs.google.com/spreadsheets/d/1XL5vhW3sbDhbH9Cz0tuDiY8C3ctxq1tqvaCgkFb8cCA/edit?usp=sharing"",""บึงกาฬ!M299"")"),142049)</f>
        <v>142049</v>
      </c>
      <c r="O404" s="169">
        <f t="shared" ca="1" si="112"/>
        <v>98.263004980630882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IFERROR(__xludf.DUMMYFUNCTION("IMPORTRANGE(""https://docs.google.com/spreadsheets/d/1XL5vhW3sbDhbH9Cz0tuDiY8C3ctxq1tqvaCgkFb8cCA/edit?usp=sharing"",""บึงกาฬ!M301"")"),142049)</f>
        <v>142049</v>
      </c>
      <c r="O406" s="169">
        <f t="shared" ca="1" si="112"/>
        <v>98.263004980630882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IFERROR(__xludf.DUMMYFUNCTION("IMPORTRANGE(""https://docs.google.com/spreadsheets/d/1XL5vhW3sbDhbH9Cz0tuDiY8C3ctxq1tqvaCgkFb8cCA/edit?usp=sharing"",""บึงกาฬ!M303"")"),30000)</f>
        <v>30000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IFERROR(__xludf.DUMMYFUNCTION("IMPORTRANGE(""https://docs.google.com/spreadsheets/d/1XL5vhW3sbDhbH9Cz0tuDiY8C3ctxq1tqvaCgkFb8cCA/edit?usp=sharing"",""บึงกาฬ!M305"")"),23849)</f>
        <v>23849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IFERROR(__xludf.DUMMYFUNCTION("IMPORTRANGE(""https://docs.google.com/spreadsheets/d/1XL5vhW3sbDhbH9Cz0tuDiY8C3ctxq1tqvaCgkFb8cCA/edit?usp=sharing"",""บึงกาฬ!J329"")"),0)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IFERROR(__xludf.DUMMYFUNCTION("IMPORTRANGE(""https://docs.google.com/spreadsheets/d/1XL5vhW3sbDhbH9Cz0tuDiY8C3ctxq1tqvaCgkFb8cCA/edit?usp=sharing"",""บึงกาฬ!M330"")"),103155)</f>
        <v>103155</v>
      </c>
      <c r="O435" s="412">
        <f t="shared" ref="O435:O439" ca="1" si="114">+IF(L435&gt;0,N435*100/L435,0)</f>
        <v>93.352941176470594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IFERROR(__xludf.DUMMYFUNCTION("IMPORTRANGE(""https://docs.google.com/spreadsheets/d/1XL5vhW3sbDhbH9Cz0tuDiY8C3ctxq1tqvaCgkFb8cCA/edit?usp=sharing"",""บึงกาฬ!M332"")"),103155)</f>
        <v>103155</v>
      </c>
      <c r="O437" s="169">
        <f t="shared" ca="1" si="114"/>
        <v>93.352941176470594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IFERROR(__xludf.DUMMYFUNCTION("IMPORTRANGE(""https://docs.google.com/spreadsheets/d/1XL5vhW3sbDhbH9Cz0tuDiY8C3ctxq1tqvaCgkFb8cCA/edit?usp=sharing"",""บึงกาฬ!M334"")"),103155)</f>
        <v>103155</v>
      </c>
      <c r="O439" s="169">
        <f t="shared" ca="1" si="114"/>
        <v>93.352941176470594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IFERROR(__xludf.DUMMYFUNCTION("IMPORTRANGE(""https://docs.google.com/spreadsheets/d/1XL5vhW3sbDhbH9Cz0tuDiY8C3ctxq1tqvaCgkFb8cCA/edit?usp=sharing"",""บึงกาฬ!M338"")"),4080)</f>
        <v>4080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IFERROR(__xludf.DUMMYFUNCTION("IMPORTRANGE(""https://docs.google.com/spreadsheets/d/1XL5vhW3sbDhbH9Cz0tuDiY8C3ctxq1tqvaCgkFb8cCA/edit?usp=sharing"",""บึงกาฬ!J349"")"),0)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IFERROR(__xludf.DUMMYFUNCTION("IMPORTRANGE(""https://docs.google.com/spreadsheets/d/1XL5vhW3sbDhbH9Cz0tuDiY8C3ctxq1tqvaCgkFb8cCA/edit?usp=sharing"",""บึงกาฬ!J350"")"),41411)</f>
        <v>41411</v>
      </c>
      <c r="K455" s="372">
        <f ca="1">IF(I455&gt;0,J455*100/I455,0)</f>
        <v>107.03835814722912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IFERROR(__xludf.DUMMYFUNCTION("IMPORTRANGE(""https://docs.google.com/spreadsheets/d/1XL5vhW3sbDhbH9Cz0tuDiY8C3ctxq1tqvaCgkFb8cCA/edit?usp=sharing"",""บึงกาฬ!J359"")"),41411)</f>
        <v>41411</v>
      </c>
      <c r="K464" s="269">
        <f t="shared" ref="K464:K515" ca="1" si="117">IF(I464&gt;0,J464*100/I464,0)</f>
        <v>107.03835814722912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IFERROR(__xludf.DUMMYFUNCTION("IMPORTRANGE(""https://docs.google.com/spreadsheets/d/1XL5vhW3sbDhbH9Cz0tuDiY8C3ctxq1tqvaCgkFb8cCA/edit?usp=sharing"",""บึงกาฬ!J376"")"),41411)</f>
        <v>41411</v>
      </c>
      <c r="K481" s="202">
        <f t="shared" ca="1" si="117"/>
        <v>107.03835814722912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IFERROR(__xludf.DUMMYFUNCTION("IMPORTRANGE(""https://docs.google.com/spreadsheets/d/1XL5vhW3sbDhbH9Cz0tuDiY8C3ctxq1tqvaCgkFb8cCA/edit?usp=sharing"",""บึงกาฬ!J377"")"),2787)</f>
        <v>2787</v>
      </c>
      <c r="K482" s="202">
        <f t="shared" ca="1" si="117"/>
        <v>106.41466208476518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IFERROR(__xludf.DUMMYFUNCTION("IMPORTRANGE(""https://docs.google.com/spreadsheets/d/1XL5vhW3sbDhbH9Cz0tuDiY8C3ctxq1tqvaCgkFb8cCA/edit?usp=sharing"",""บึงกาฬ!J388"")"),2723)</f>
        <v>2723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IFERROR(__xludf.DUMMYFUNCTION("IMPORTRANGE(""https://docs.google.com/spreadsheets/d/1XL5vhW3sbDhbH9Cz0tuDiY8C3ctxq1tqvaCgkFb8cCA/edit?usp=sharing"",""บึงกาฬ!J389"")"),168)</f>
        <v>168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IFERROR(__xludf.DUMMYFUNCTION("IMPORTRANGE(""https://docs.google.com/spreadsheets/d/1XL5vhW3sbDhbH9Cz0tuDiY8C3ctxq1tqvaCgkFb8cCA/edit?usp=sharing"",""บึงกาฬ!J392"")"),6121)</f>
        <v>6121</v>
      </c>
      <c r="K497" s="444">
        <f t="shared" ca="1" si="117"/>
        <v>100.01633986928104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IFERROR(__xludf.DUMMYFUNCTION("IMPORTRANGE(""https://docs.google.com/spreadsheets/d/1XL5vhW3sbDhbH9Cz0tuDiY8C3ctxq1tqvaCgkFb8cCA/edit?usp=sharing"",""บึงกาฬ!J393"")"),6121)</f>
        <v>6121</v>
      </c>
      <c r="K498" s="202">
        <f t="shared" ca="1" si="117"/>
        <v>100.01633986928104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IFERROR(__xludf.DUMMYFUNCTION("IMPORTRANGE(""https://docs.google.com/spreadsheets/d/1XL5vhW3sbDhbH9Cz0tuDiY8C3ctxq1tqvaCgkFb8cCA/edit?usp=sharing"",""บึงกาฬ!J394"")"),421)</f>
        <v>421</v>
      </c>
      <c r="K499" s="202">
        <f t="shared" ca="1" si="117"/>
        <v>99.763033175355446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IFERROR(__xludf.DUMMYFUNCTION("IMPORTRANGE(""https://docs.google.com/spreadsheets/d/1XL5vhW3sbDhbH9Cz0tuDiY8C3ctxq1tqvaCgkFb8cCA/edit?usp=sharing"",""บึงกาฬ!J395"")"),6120)</f>
        <v>6120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IFERROR(__xludf.DUMMYFUNCTION("IMPORTRANGE(""https://docs.google.com/spreadsheets/d/1XL5vhW3sbDhbH9Cz0tuDiY8C3ctxq1tqvaCgkFb8cCA/edit?usp=sharing"",""บึงกาฬ!J396"")"),421)</f>
        <v>421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IFERROR(__xludf.DUMMYFUNCTION("IMPORTRANGE(""https://docs.google.com/spreadsheets/d/1XL5vhW3sbDhbH9Cz0tuDiY8C3ctxq1tqvaCgkFb8cCA/edit?usp=sharing"",""บึงกาฬ!J397"")"),6120)</f>
        <v>6120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IFERROR(__xludf.DUMMYFUNCTION("IMPORTRANGE(""https://docs.google.com/spreadsheets/d/1XL5vhW3sbDhbH9Cz0tuDiY8C3ctxq1tqvaCgkFb8cCA/edit?usp=sharing"",""บึงกาฬ!J398"")"),421)</f>
        <v>421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IFERROR(__xludf.DUMMYFUNCTION("IMPORTRANGE(""https://docs.google.com/spreadsheets/d/1XL5vhW3sbDhbH9Cz0tuDiY8C3ctxq1tqvaCgkFb8cCA/edit?usp=sharing"",""บึงกาฬ!I412"")"),0)</f>
        <v>0</v>
      </c>
      <c r="J517" s="285">
        <f ca="1">IFERROR(__xludf.DUMMYFUNCTION("IMPORTRANGE(""https://docs.google.com/spreadsheets/d/1XL5vhW3sbDhbH9Cz0tuDiY8C3ctxq1tqvaCgkFb8cCA/edit?usp=sharing"",""บึงกาฬ!J412"")"),0)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IFERROR(__xludf.DUMMYFUNCTION("IMPORTRANGE(""https://docs.google.com/spreadsheets/d/1XL5vhW3sbDhbH9Cz0tuDiY8C3ctxq1tqvaCgkFb8cCA/edit?usp=sharing"",""บึงกาฬ!I413"")"),0)</f>
        <v>0</v>
      </c>
      <c r="J518" s="285">
        <f ca="1">IFERROR(__xludf.DUMMYFUNCTION("IMPORTRANGE(""https://docs.google.com/spreadsheets/d/1XL5vhW3sbDhbH9Cz0tuDiY8C3ctxq1tqvaCgkFb8cCA/edit?usp=sharing"",""บึงกาฬ!J413"")"),0)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IFERROR(__xludf.DUMMYFUNCTION("IMPORTRANGE(""https://docs.google.com/spreadsheets/d/1XL5vhW3sbDhbH9Cz0tuDiY8C3ctxq1tqvaCgkFb8cCA/edit?usp=sharing"",""บึงกาฬ!I420"")"),625)</f>
        <v>625</v>
      </c>
      <c r="J525" s="285">
        <f ca="1">IFERROR(__xludf.DUMMYFUNCTION("IMPORTRANGE(""https://docs.google.com/spreadsheets/d/1XL5vhW3sbDhbH9Cz0tuDiY8C3ctxq1tqvaCgkFb8cCA/edit?usp=sharing"",""บึงกาฬ!J420"")"),0)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IFERROR(__xludf.DUMMYFUNCTION("IMPORTRANGE(""https://docs.google.com/spreadsheets/d/1XL5vhW3sbDhbH9Cz0tuDiY8C3ctxq1tqvaCgkFb8cCA/edit?usp=sharing"",""บึงกาฬ!I421"")"),20)</f>
        <v>20</v>
      </c>
      <c r="J526" s="285">
        <f ca="1">IFERROR(__xludf.DUMMYFUNCTION("IMPORTRANGE(""https://docs.google.com/spreadsheets/d/1XL5vhW3sbDhbH9Cz0tuDiY8C3ctxq1tqvaCgkFb8cCA/edit?usp=sharing"",""บึงกาฬ!J421"")"),0)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IFERROR(__xludf.DUMMYFUNCTION("IMPORTRANGE(""https://docs.google.com/spreadsheets/d/1XL5vhW3sbDhbH9Cz0tuDiY8C3ctxq1tqvaCgkFb8cCA/edit?usp=sharing"",""บึงกาฬ!M428"")"),34972)</f>
        <v>34972</v>
      </c>
      <c r="O533" s="412">
        <f t="shared" ref="O533:O537" ca="1" si="118">+IF(L533&gt;0,N533*100/L533,0)</f>
        <v>85.007292173067569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IFERROR(__xludf.DUMMYFUNCTION("IMPORTRANGE(""https://docs.google.com/spreadsheets/d/1XL5vhW3sbDhbH9Cz0tuDiY8C3ctxq1tqvaCgkFb8cCA/edit?usp=sharing"",""บึงกาฬ!L430"")"),41140)</f>
        <v>41140</v>
      </c>
      <c r="M535" s="165"/>
      <c r="N535" s="169">
        <f ca="1">IFERROR(__xludf.DUMMYFUNCTION("IMPORTRANGE(""https://docs.google.com/spreadsheets/d/1XL5vhW3sbDhbH9Cz0tuDiY8C3ctxq1tqvaCgkFb8cCA/edit?usp=sharing"",""บึงกาฬ!M430"")"),34972)</f>
        <v>34972</v>
      </c>
      <c r="O535" s="169">
        <f t="shared" ca="1" si="118"/>
        <v>85.007292173067569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IFERROR(__xludf.DUMMYFUNCTION("IMPORTRANGE(""https://docs.google.com/spreadsheets/d/1XL5vhW3sbDhbH9Cz0tuDiY8C3ctxq1tqvaCgkFb8cCA/edit?usp=sharing"",""บึงกาฬ!L432"")"),41140)</f>
        <v>41140</v>
      </c>
      <c r="M537" s="169"/>
      <c r="N537" s="169">
        <f ca="1">IFERROR(__xludf.DUMMYFUNCTION("IMPORTRANGE(""https://docs.google.com/spreadsheets/d/1XL5vhW3sbDhbH9Cz0tuDiY8C3ctxq1tqvaCgkFb8cCA/edit?usp=sharing"",""บึงกาฬ!M432"")"),34972)</f>
        <v>34972</v>
      </c>
      <c r="O537" s="169">
        <f t="shared" ca="1" si="118"/>
        <v>85.007292173067569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IFERROR(__xludf.DUMMYFUNCTION("IMPORTRANGE(""https://docs.google.com/spreadsheets/d/1XL5vhW3sbDhbH9Cz0tuDiY8C3ctxq1tqvaCgkFb8cCA/edit?usp=sharing"",""บึงกาฬ!M436"")"),9432)</f>
        <v>9432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IFERROR(__xludf.DUMMYFUNCTION("IMPORTRANGE(""https://docs.google.com/spreadsheets/d/1XL5vhW3sbDhbH9Cz0tuDiY8C3ctxq1tqvaCgkFb8cCA/edit?usp=sharing"",""บึงกาฬ!J446"")"),1991)</f>
        <v>1991</v>
      </c>
      <c r="K551" s="411">
        <f ca="1">IF(I551&gt;0,J551*100/I551,0)</f>
        <v>39.82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IFERROR(__xludf.DUMMYFUNCTION("IMPORTRANGE(""https://docs.google.com/spreadsheets/d/1XL5vhW3sbDhbH9Cz0tuDiY8C3ctxq1tqvaCgkFb8cCA/edit?usp=sharing"",""บึงกาฬ!M446"")"),298429)</f>
        <v>298429</v>
      </c>
      <c r="O551" s="412">
        <f t="shared" ref="O551:O555" ca="1" si="120">+IF(L551&gt;0,N551*100/L551,0)</f>
        <v>93.259062499999999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IFERROR(__xludf.DUMMYFUNCTION("IMPORTRANGE(""https://docs.google.com/spreadsheets/d/1XL5vhW3sbDhbH9Cz0tuDiY8C3ctxq1tqvaCgkFb8cCA/edit?usp=sharing"",""บึงกาฬ!M448"")"),298429)</f>
        <v>298429</v>
      </c>
      <c r="O553" s="169">
        <f t="shared" ca="1" si="120"/>
        <v>93.259062499999999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IFERROR(__xludf.DUMMYFUNCTION("IMPORTRANGE(""https://docs.google.com/spreadsheets/d/1XL5vhW3sbDhbH9Cz0tuDiY8C3ctxq1tqvaCgkFb8cCA/edit?usp=sharing"",""บึงกาฬ!M450"")"),298429)</f>
        <v>298429</v>
      </c>
      <c r="O555" s="169">
        <f t="shared" ca="1" si="120"/>
        <v>93.259062499999999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IFERROR(__xludf.DUMMYFUNCTION("IMPORTRANGE(""https://docs.google.com/spreadsheets/d/1XL5vhW3sbDhbH9Cz0tuDiY8C3ctxq1tqvaCgkFb8cCA/edit?usp=sharing"",""บึงกาฬ!M454"")"),298429)</f>
        <v>298429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IFERROR(__xludf.DUMMYFUNCTION("IMPORTRANGE(""https://docs.google.com/spreadsheets/d/1XL5vhW3sbDhbH9Cz0tuDiY8C3ctxq1tqvaCgkFb8cCA/edit?usp=sharing"",""บึงกาฬ!J455"")"),1991)</f>
        <v>1991</v>
      </c>
      <c r="K560" s="225">
        <f t="shared" ref="K560:K561" ca="1" si="121">IF(I560&gt;0,J560*100/I560,0)</f>
        <v>39.82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IFERROR(__xludf.DUMMYFUNCTION("IMPORTRANGE(""https://docs.google.com/spreadsheets/d/1XL5vhW3sbDhbH9Cz0tuDiY8C3ctxq1tqvaCgkFb8cCA/edit?usp=sharing"",""บึงกาฬ!J456"")"),136)</f>
        <v>136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IFERROR(__xludf.DUMMYFUNCTION("IMPORTRANGE(""https://docs.google.com/spreadsheets/d/1XL5vhW3sbDhbH9Cz0tuDiY8C3ctxq1tqvaCgkFb8cCA/edit?usp=sharing"",""บึงกาฬ!J459"")"),4701)</f>
        <v>4701</v>
      </c>
      <c r="K564" s="372">
        <f ca="1">IF(I564&gt;0,J564*100/I564,0)</f>
        <v>134.31428571428572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IFERROR(__xludf.DUMMYFUNCTION("IMPORTRANGE(""https://docs.google.com/spreadsheets/d/1XL5vhW3sbDhbH9Cz0tuDiY8C3ctxq1tqvaCgkFb8cCA/edit?usp=sharing"",""บึงกาฬ!M459"")"),114363)</f>
        <v>114363</v>
      </c>
      <c r="O564" s="373">
        <f t="shared" ref="O564:O568" ca="1" si="122">+IF(L564&gt;0,N564*100/L564,0)</f>
        <v>71.476875000000007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IFERROR(__xludf.DUMMYFUNCTION("IMPORTRANGE(""https://docs.google.com/spreadsheets/d/1XL5vhW3sbDhbH9Cz0tuDiY8C3ctxq1tqvaCgkFb8cCA/edit?usp=sharing"",""บึงกาฬ!M461"")"),114363)</f>
        <v>114363</v>
      </c>
      <c r="O566" s="169">
        <f t="shared" ca="1" si="122"/>
        <v>71.476875000000007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IFERROR(__xludf.DUMMYFUNCTION("IMPORTRANGE(""https://docs.google.com/spreadsheets/d/1XL5vhW3sbDhbH9Cz0tuDiY8C3ctxq1tqvaCgkFb8cCA/edit?usp=sharing"",""บึงกาฬ!M463"")"),114363)</f>
        <v>114363</v>
      </c>
      <c r="O568" s="169">
        <f t="shared" ca="1" si="122"/>
        <v>71.476875000000007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IFERROR(__xludf.DUMMYFUNCTION("IMPORTRANGE(""https://docs.google.com/spreadsheets/d/1XL5vhW3sbDhbH9Cz0tuDiY8C3ctxq1tqvaCgkFb8cCA/edit?usp=sharing"",""บึงกาฬ!M466"")"),87278)</f>
        <v>87278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IFERROR(__xludf.DUMMYFUNCTION("IMPORTRANGE(""https://docs.google.com/spreadsheets/d/1XL5vhW3sbDhbH9Cz0tuDiY8C3ctxq1tqvaCgkFb8cCA/edit?usp=sharing"",""บึงกาฬ!M467"")"),27085)</f>
        <v>27085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IFERROR(__xludf.DUMMYFUNCTION("IMPORTRANGE(""https://docs.google.com/spreadsheets/d/1XL5vhW3sbDhbH9Cz0tuDiY8C3ctxq1tqvaCgkFb8cCA/edit?usp=sharing"",""บึงกาฬ!J468"")"),4701)</f>
        <v>4701</v>
      </c>
      <c r="K573" s="202">
        <f ca="1">IF(I573&gt;0,J573*100/I573,0)</f>
        <v>134.31428571428572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IFERROR(__xludf.DUMMYFUNCTION("IMPORTRANGE(""https://docs.google.com/spreadsheets/d/1XL5vhW3sbDhbH9Cz0tuDiY8C3ctxq1tqvaCgkFb8cCA/edit?usp=sharing"",""บึงกาฬ!J471"")"),743)</f>
        <v>743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IFERROR(__xludf.DUMMYFUNCTION("IMPORTRANGE(""https://docs.google.com/spreadsheets/d/1XL5vhW3sbDhbH9Cz0tuDiY8C3ctxq1tqvaCgkFb8cCA/edit?usp=sharing"",""บึงกาฬ!J472"")"),3958)</f>
        <v>3958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IFERROR(__xludf.DUMMYFUNCTION("IMPORTRANGE(""https://docs.google.com/spreadsheets/d/1XL5vhW3sbDhbH9Cz0tuDiY8C3ctxq1tqvaCgkFb8cCA/edit?usp=sharing"",""บึงกาฬ!J475"")"),5)</f>
        <v>5</v>
      </c>
      <c r="K580" s="372">
        <f ca="1">IF(I580&gt;0,J580*100/I580,0)</f>
        <v>10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IFERROR(__xludf.DUMMYFUNCTION("IMPORTRANGE(""https://docs.google.com/spreadsheets/d/1XL5vhW3sbDhbH9Cz0tuDiY8C3ctxq1tqvaCgkFb8cCA/edit?usp=sharing"",""บึงกาฬ!J484"")"),89)</f>
        <v>89</v>
      </c>
      <c r="K589" s="163">
        <f t="shared" ref="K589:K596" ca="1" si="125">IF(I589&gt;0,J589*100/I589,0)</f>
        <v>178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IFERROR(__xludf.DUMMYFUNCTION("IMPORTRANGE(""https://docs.google.com/spreadsheets/d/1XL5vhW3sbDhbH9Cz0tuDiY8C3ctxq1tqvaCgkFb8cCA/edit?usp=sharing"",""บึงกาฬ!J485"")"),193.12)</f>
        <v>193.12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IFERROR(__xludf.DUMMYFUNCTION("IMPORTRANGE(""https://docs.google.com/spreadsheets/d/1XL5vhW3sbDhbH9Cz0tuDiY8C3ctxq1tqvaCgkFb8cCA/edit?usp=sharing"",""บึงกาฬ!J486"")"),58)</f>
        <v>58</v>
      </c>
      <c r="K591" s="163">
        <f t="shared" ca="1" si="125"/>
        <v>116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IFERROR(__xludf.DUMMYFUNCTION("IMPORTRANGE(""https://docs.google.com/spreadsheets/d/1XL5vhW3sbDhbH9Cz0tuDiY8C3ctxq1tqvaCgkFb8cCA/edit?usp=sharing"",""บึงกาฬ!J487"")"),77.36)</f>
        <v>77.36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IFERROR(__xludf.DUMMYFUNCTION("IMPORTRANGE(""https://docs.google.com/spreadsheets/d/1XL5vhW3sbDhbH9Cz0tuDiY8C3ctxq1tqvaCgkFb8cCA/edit?usp=sharing"",""บึงกาฬ!J488"")"),6)</f>
        <v>6</v>
      </c>
      <c r="K593" s="163">
        <f t="shared" ca="1" si="125"/>
        <v>12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IFERROR(__xludf.DUMMYFUNCTION("IMPORTRANGE(""https://docs.google.com/spreadsheets/d/1XL5vhW3sbDhbH9Cz0tuDiY8C3ctxq1tqvaCgkFb8cCA/edit?usp=sharing"",""บึงกาฬ!J489"")"),34.58)</f>
        <v>34.58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IFERROR(__xludf.DUMMYFUNCTION("IMPORTRANGE(""https://docs.google.com/spreadsheets/d/1XL5vhW3sbDhbH9Cz0tuDiY8C3ctxq1tqvaCgkFb8cCA/edit?usp=sharing"",""บึงกาฬ!J490"")"),5)</f>
        <v>5</v>
      </c>
      <c r="K595" s="163">
        <f t="shared" ca="1" si="125"/>
        <v>10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IFERROR(__xludf.DUMMYFUNCTION("IMPORTRANGE(""https://docs.google.com/spreadsheets/d/1XL5vhW3sbDhbH9Cz0tuDiY8C3ctxq1tqvaCgkFb8cCA/edit?usp=sharing"",""บึงกาฬ!J491"")"),2.85)</f>
        <v>2.85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8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IFERROR(__xludf.DUMMYFUNCTION("IMPORTRANGE(""https://docs.google.com/spreadsheets/d/1XL5vhW3sbDhbH9Cz0tuDiY8C3ctxq1tqvaCgkFb8cCA/edit?usp=sharing"",""บึงกาฬ!L494"")"),5350)</f>
        <v>5350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IFERROR(__xludf.DUMMYFUNCTION("IMPORTRANGE(""https://docs.google.com/spreadsheets/d/1XL5vhW3sbDhbH9Cz0tuDiY8C3ctxq1tqvaCgkFb8cCA/edit?usp=sharing"",""บึงกาฬ!L496"")"),5350)</f>
        <v>5350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IFERROR(__xludf.DUMMYFUNCTION("IMPORTRANGE(""https://docs.google.com/spreadsheets/d/1XL5vhW3sbDhbH9Cz0tuDiY8C3ctxq1tqvaCgkFb8cCA/edit?usp=sharing"",""บึงกาฬ!J166"")"),0)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IFERROR(__xludf.DUMMYFUNCTION("IMPORTRANGE(""https://docs.google.com/spreadsheets/d/1XL5vhW3sbDhbH9Cz0tuDiY8C3ctxq1tqvaCgkFb8cCA/edit?usp=sharing"",""บึงกาฬ!J166"")"),0)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2">
        <f ca="1">IFERROR(__xludf.DUMMYFUNCTION("IMPORTRANGE(""https://docs.google.com/spreadsheets/d/1XL5vhW3sbDhbH9Cz0tuDiY8C3ctxq1tqvaCgkFb8cCA/edit?usp=sharing"",""บึงกาฬ!J523"")"),2213414.15)</f>
        <v>2213414.15</v>
      </c>
      <c r="K628" s="343">
        <f t="shared" ref="K628:K635" ca="1" si="129">IF(I628&gt;0,J628*100/I628,0)</f>
        <v>51.164057623074079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IFERROR(__xludf.DUMMYFUNCTION("IMPORTRANGE(""https://docs.google.com/spreadsheets/d/1XL5vhW3sbDhbH9Cz0tuDiY8C3ctxq1tqvaCgkFb8cCA/edit?usp=sharing"",""บึงกาฬ!I524"")"),284)</f>
        <v>284</v>
      </c>
      <c r="J629" s="342">
        <f ca="1">IFERROR(__xludf.DUMMYFUNCTION("IMPORTRANGE(""https://docs.google.com/spreadsheets/d/1XL5vhW3sbDhbH9Cz0tuDiY8C3ctxq1tqvaCgkFb8cCA/edit?usp=sharing"",""บึงกาฬ!J524"")"),142)</f>
        <v>142</v>
      </c>
      <c r="K629" s="343">
        <f t="shared" ca="1" si="129"/>
        <v>50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IFERROR(__xludf.DUMMYFUNCTION("IMPORTRANGE(""https://docs.google.com/spreadsheets/d/1XL5vhW3sbDhbH9Cz0tuDiY8C3ctxq1tqvaCgkFb8cCA/edit?usp=sharing"",""บึงกาฬ!I525"")"),1444097.44)</f>
        <v>1444097.44</v>
      </c>
      <c r="J630" s="342">
        <f ca="1">IFERROR(__xludf.DUMMYFUNCTION("IMPORTRANGE(""https://docs.google.com/spreadsheets/d/1XL5vhW3sbDhbH9Cz0tuDiY8C3ctxq1tqvaCgkFb8cCA/edit?usp=sharing"",""บึงกาฬ!J525"")"),837013.63)</f>
        <v>837013.63</v>
      </c>
      <c r="K630" s="343">
        <f t="shared" ca="1" si="129"/>
        <v>57.961021660699018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IFERROR(__xludf.DUMMYFUNCTION("IMPORTRANGE(""https://docs.google.com/spreadsheets/d/1XL5vhW3sbDhbH9Cz0tuDiY8C3ctxq1tqvaCgkFb8cCA/edit?usp=sharing"",""บึงกาฬ!I526"")"),67)</f>
        <v>67</v>
      </c>
      <c r="J631" s="342">
        <f ca="1">IFERROR(__xludf.DUMMYFUNCTION("IMPORTRANGE(""https://docs.google.com/spreadsheets/d/1XL5vhW3sbDhbH9Cz0tuDiY8C3ctxq1tqvaCgkFb8cCA/edit?usp=sharing"",""บึงกาฬ!J526"")"),64)</f>
        <v>64</v>
      </c>
      <c r="K631" s="343">
        <f t="shared" ca="1" si="129"/>
        <v>95.522388059701498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IFERROR(__xludf.DUMMYFUNCTION("IMPORTRANGE(""https://docs.google.com/spreadsheets/d/1XL5vhW3sbDhbH9Cz0tuDiY8C3ctxq1tqvaCgkFb8cCA/edit?usp=sharing"",""บึงกาฬ!I527"")"),5947.5)</f>
        <v>5947.5</v>
      </c>
      <c r="J632" s="342">
        <f ca="1">IFERROR(__xludf.DUMMYFUNCTION("IMPORTRANGE(""https://docs.google.com/spreadsheets/d/1XL5vhW3sbDhbH9Cz0tuDiY8C3ctxq1tqvaCgkFb8cCA/edit?usp=sharing"",""บึงกาฬ!J527"")"),11895)</f>
        <v>11895</v>
      </c>
      <c r="K632" s="343">
        <f t="shared" ca="1" si="129"/>
        <v>200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IFERROR(__xludf.DUMMYFUNCTION("IMPORTRANGE(""https://docs.google.com/spreadsheets/d/1XL5vhW3sbDhbH9Cz0tuDiY8C3ctxq1tqvaCgkFb8cCA/edit?usp=sharing"",""บึงกาฬ!I528"")"),2)</f>
        <v>2</v>
      </c>
      <c r="J633" s="342">
        <f ca="1">IFERROR(__xludf.DUMMYFUNCTION("IMPORTRANGE(""https://docs.google.com/spreadsheets/d/1XL5vhW3sbDhbH9Cz0tuDiY8C3ctxq1tqvaCgkFb8cCA/edit?usp=sharing"",""บึงกาฬ!J528"")"),4)</f>
        <v>4</v>
      </c>
      <c r="K633" s="343">
        <f t="shared" ca="1" si="129"/>
        <v>200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IFERROR(__xludf.DUMMYFUNCTION("IMPORTRANGE(""https://docs.google.com/spreadsheets/d/1XL5vhW3sbDhbH9Cz0tuDiY8C3ctxq1tqvaCgkFb8cCA/edit?usp=sharing"",""บึงกาฬ!I529"")"),2400000)</f>
        <v>2400000</v>
      </c>
      <c r="J634" s="342">
        <f ca="1">IFERROR(__xludf.DUMMYFUNCTION("IMPORTRANGE(""https://docs.google.com/spreadsheets/d/1XL5vhW3sbDhbH9Cz0tuDiY8C3ctxq1tqvaCgkFb8cCA/edit?usp=sharing"",""บึงกาฬ!J529"")"),2400000)</f>
        <v>2400000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IFERROR(__xludf.DUMMYFUNCTION("IMPORTRANGE(""https://docs.google.com/spreadsheets/d/1XL5vhW3sbDhbH9Cz0tuDiY8C3ctxq1tqvaCgkFb8cCA/edit?usp=sharing"",""บึงกาฬ!I530"")"),60)</f>
        <v>60</v>
      </c>
      <c r="J635" s="505">
        <f ca="1">IFERROR(__xludf.DUMMYFUNCTION("IMPORTRANGE(""https://docs.google.com/spreadsheets/d/1XL5vhW3sbDhbH9Cz0tuDiY8C3ctxq1tqvaCgkFb8cCA/edit?usp=sharing"",""บึงกาฬ!J530"")"),49)</f>
        <v>49</v>
      </c>
      <c r="K635" s="487">
        <f t="shared" ca="1" si="129"/>
        <v>81.666666666666671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IFERROR(__xludf.DUMMYFUNCTION("IMPORTRANGE(""https://docs.google.com/spreadsheets/d/1XL5vhW3sbDhbH9Cz0tuDiY8C3ctxq1tqvaCgkFb8cCA/edit#gid=346597447"",""บึงกาฬ!J541"")"),0)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IFERROR(__xludf.DUMMYFUNCTION("IMPORTRANGE(""https://docs.google.com/spreadsheets/d/1XL5vhW3sbDhbH9Cz0tuDiY8C3ctxq1tqvaCgkFb8cCA/edit#gid=346597447"",""บึงกาฬ!J542"")"),0)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IFERROR(__xludf.DUMMYFUNCTION("IMPORTRANGE(""https://docs.google.com/spreadsheets/d/1XL5vhW3sbDhbH9Cz0tuDiY8C3ctxq1tqvaCgkFb8cCA/edit#gid=346597447"",""บึงกาฬ!I543"")"),0)</f>
        <v>0</v>
      </c>
      <c r="J648" s="586">
        <f ca="1">IFERROR(__xludf.DUMMYFUNCTION("IMPORTRANGE(""https://docs.google.com/spreadsheets/d/1XL5vhW3sbDhbH9Cz0tuDiY8C3ctxq1tqvaCgkFb8cCA/edit#gid=346597447"",""บึงกาฬ!J543"")"),0)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IFERROR(__xludf.DUMMYFUNCTION("IMPORTRANGE(""https://docs.google.com/spreadsheets/d/1XL5vhW3sbDhbH9Cz0tuDiY8C3ctxq1tqvaCgkFb8cCA/edit#gid=346597447"",""บึงกาฬ!L543"")"),0)</f>
        <v>0</v>
      </c>
      <c r="M648" s="571"/>
      <c r="N648" s="588">
        <f ca="1">IFERROR(__xludf.DUMMYFUNCTION("IMPORTRANGE(""https://docs.google.com/spreadsheets/d/1XL5vhW3sbDhbH9Cz0tuDiY8C3ctxq1tqvaCgkFb8cCA/edit#gid=346597447"",""บึงกาฬ!M543"")"),0)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IFERROR(__xludf.DUMMYFUNCTION("IMPORTRANGE(""https://docs.google.com/spreadsheets/d/1XL5vhW3sbDhbH9Cz0tuDiY8C3ctxq1tqvaCgkFb8cCA/edit#gid=346597447"",""บึงกาฬ!I544"")"),0)</f>
        <v>0</v>
      </c>
      <c r="J649" s="586">
        <f ca="1">IFERROR(__xludf.DUMMYFUNCTION("IMPORTRANGE(""https://docs.google.com/spreadsheets/d/1XL5vhW3sbDhbH9Cz0tuDiY8C3ctxq1tqvaCgkFb8cCA/edit#gid=346597447"",""บึงกาฬ!J544"")"),0)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IFERROR(__xludf.DUMMYFUNCTION("IMPORTRANGE(""https://docs.google.com/spreadsheets/d/1XL5vhW3sbDhbH9Cz0tuDiY8C3ctxq1tqvaCgkFb8cCA/edit#gid=346597447"",""บึงกาฬ!L544"")"),0)</f>
        <v>0</v>
      </c>
      <c r="M649" s="571"/>
      <c r="N649" s="588">
        <f ca="1">IFERROR(__xludf.DUMMYFUNCTION("IMPORTRANGE(""https://docs.google.com/spreadsheets/d/1XL5vhW3sbDhbH9Cz0tuDiY8C3ctxq1tqvaCgkFb8cCA/edit#gid=346597447"",""บึงกาฬ!M544"")"),0)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IFERROR(__xludf.DUMMYFUNCTION("IMPORTRANGE(""https://docs.google.com/spreadsheets/d/1XL5vhW3sbDhbH9Cz0tuDiY8C3ctxq1tqvaCgkFb8cCA/edit#gid=346597447"",""บึงกาฬ!I545"")"),0)</f>
        <v>0</v>
      </c>
      <c r="J650" s="586">
        <f ca="1">IFERROR(__xludf.DUMMYFUNCTION("IMPORTRANGE(""https://docs.google.com/spreadsheets/d/1XL5vhW3sbDhbH9Cz0tuDiY8C3ctxq1tqvaCgkFb8cCA/edit#gid=346597447"",""บึงกาฬ!J545"")"),0)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IFERROR(__xludf.DUMMYFUNCTION("IMPORTRANGE(""https://docs.google.com/spreadsheets/d/1XL5vhW3sbDhbH9Cz0tuDiY8C3ctxq1tqvaCgkFb8cCA/edit#gid=346597447"",""บึงกาฬ!L545"")"),0)</f>
        <v>0</v>
      </c>
      <c r="M650" s="571"/>
      <c r="N650" s="588">
        <f ca="1">IFERROR(__xludf.DUMMYFUNCTION("IMPORTRANGE(""https://docs.google.com/spreadsheets/d/1XL5vhW3sbDhbH9Cz0tuDiY8C3ctxq1tqvaCgkFb8cCA/edit#gid=346597447"",""บึงกาฬ!M545"")"),0)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IFERROR(__xludf.DUMMYFUNCTION("IMPORTRANGE(""https://docs.google.com/spreadsheets/d/1XL5vhW3sbDhbH9Cz0tuDiY8C3ctxq1tqvaCgkFb8cCA/edit#gid=346597447"",""บึงกาฬ!I546"")"),0)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IFERROR(__xludf.DUMMYFUNCTION("IMPORTRANGE(""https://docs.google.com/spreadsheets/d/1XL5vhW3sbDhbH9Cz0tuDiY8C3ctxq1tqvaCgkFb8cCA/edit#gid=346597447"",""บึงกาฬ!L546"")"),0)</f>
        <v>0</v>
      </c>
      <c r="M651" s="571"/>
      <c r="N651" s="588">
        <f ca="1">IFERROR(__xludf.DUMMYFUNCTION("IMPORTRANGE(""https://docs.google.com/spreadsheets/d/1XL5vhW3sbDhbH9Cz0tuDiY8C3ctxq1tqvaCgkFb8cCA/edit#gid=346597447"",""บึงกาฬ!M546"")"),0)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IFERROR(__xludf.DUMMYFUNCTION("IMPORTRANGE(""https://docs.google.com/spreadsheets/d/1XL5vhW3sbDhbH9Cz0tuDiY8C3ctxq1tqvaCgkFb8cCA/edit#gid=346597447"",""บึงกาฬ!J547"")"),0)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IFERROR(__xludf.DUMMYFUNCTION("IMPORTRANGE(""https://docs.google.com/spreadsheets/d/1XL5vhW3sbDhbH9Cz0tuDiY8C3ctxq1tqvaCgkFb8cCA/edit#gid=346597447"",""บึงกาฬ!J548"")"),0)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IFERROR(__xludf.DUMMYFUNCTION("IMPORTRANGE(""https://docs.google.com/spreadsheets/d/1XL5vhW3sbDhbH9Cz0tuDiY8C3ctxq1tqvaCgkFb8cCA/edit#gid=346597447"",""บึงกาฬ!J550"")"),0)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IFERROR(__xludf.DUMMYFUNCTION("IMPORTRANGE(""https://docs.google.com/spreadsheets/d/1XL5vhW3sbDhbH9Cz0tuDiY8C3ctxq1tqvaCgkFb8cCA/edit#gid=346597447"",""บึงกาฬ!J551"")"),0)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IFERROR(__xludf.DUMMYFUNCTION("IMPORTRANGE(""https://docs.google.com/spreadsheets/d/1XL5vhW3sbDhbH9Cz0tuDiY8C3ctxq1tqvaCgkFb8cCA/edit#gid=346597447"",""บึงกาฬ!J552"")"),0)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IFERROR(__xludf.DUMMYFUNCTION("IMPORTRANGE(""https://docs.google.com/spreadsheets/d/1XL5vhW3sbDhbH9Cz0tuDiY8C3ctxq1tqvaCgkFb8cCA/edit#gid=346597447"",""บึงกาฬ!J553"")"),0)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IFERROR(__xludf.DUMMYFUNCTION("IMPORTRANGE(""https://docs.google.com/spreadsheets/d/1XL5vhW3sbDhbH9Cz0tuDiY8C3ctxq1tqvaCgkFb8cCA/edit#gid=346597447"",""บึงกาฬ!J554"")"),0)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IFERROR(__xludf.DUMMYFUNCTION("IMPORTRANGE(""https://docs.google.com/spreadsheets/d/1XL5vhW3sbDhbH9Cz0tuDiY8C3ctxq1tqvaCgkFb8cCA/edit#gid=346597447"",""บึงกาฬ!J555"")"),0)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IFERROR(__xludf.DUMMYFUNCTION("IMPORTRANGE(""https://docs.google.com/spreadsheets/d/1XL5vhW3sbDhbH9Cz0tuDiY8C3ctxq1tqvaCgkFb8cCA/edit#gid=346597447"",""บึงกาฬ!J556"")"),0)</f>
        <v>0</v>
      </c>
      <c r="K661" s="587"/>
      <c r="L661" s="572">
        <f ca="1">IFERROR(__xludf.DUMMYFUNCTION("IMPORTRANGE(""https://docs.google.com/spreadsheets/d/1XL5vhW3sbDhbH9Cz0tuDiY8C3ctxq1tqvaCgkFb8cCA/edit#gid=346597447"",""บึงกาฬ!L556"")"),0)</f>
        <v>0</v>
      </c>
      <c r="M661" s="571"/>
      <c r="N661" s="588">
        <f ca="1">IFERROR(__xludf.DUMMYFUNCTION("IMPORTRANGE(""https://docs.google.com/spreadsheets/d/1XL5vhW3sbDhbH9Cz0tuDiY8C3ctxq1tqvaCgkFb8cCA/edit#gid=346597447"",""บึงกาฬ!M556"")"),0)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IFERROR(__xludf.DUMMYFUNCTION("IMPORTRANGE(""https://docs.google.com/spreadsheets/d/1XL5vhW3sbDhbH9Cz0tuDiY8C3ctxq1tqvaCgkFb8cCA/edit#gid=346597447"",""บึงกาฬ!J557"")"),0)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IFERROR(__xludf.DUMMYFUNCTION("IMPORTRANGE(""https://docs.google.com/spreadsheets/d/1XL5vhW3sbDhbH9Cz0tuDiY8C3ctxq1tqvaCgkFb8cCA/edit#gid=346597447"",""บึงกาฬ!I558"")"),0)</f>
        <v>0</v>
      </c>
      <c r="J663" s="586">
        <f ca="1">IFERROR(__xludf.DUMMYFUNCTION("IMPORTRANGE(""https://docs.google.com/spreadsheets/d/1XL5vhW3sbDhbH9Cz0tuDiY8C3ctxq1tqvaCgkFb8cCA/edit#gid=346597447"",""บึงกาฬ!J558"")"),0)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IFERROR(__xludf.DUMMYFUNCTION("IMPORTRANGE(""https://docs.google.com/spreadsheets/d/1XL5vhW3sbDhbH9Cz0tuDiY8C3ctxq1tqvaCgkFb8cCA/edit#gid=346597447"",""บึงกาฬ!I560"")"),0)</f>
        <v>0</v>
      </c>
      <c r="J665" s="586">
        <f ca="1">IFERROR(__xludf.DUMMYFUNCTION("IMPORTRANGE(""https://docs.google.com/spreadsheets/d/1XL5vhW3sbDhbH9Cz0tuDiY8C3ctxq1tqvaCgkFb8cCA/edit#gid=346597447"",""บึงกาฬ!J560"")"),0)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IFERROR(__xludf.DUMMYFUNCTION("IMPORTRANGE(""https://docs.google.com/spreadsheets/d/1XL5vhW3sbDhbH9Cz0tuDiY8C3ctxq1tqvaCgkFb8cCA/edit#gid=346597447"",""บึงกาฬ!L560"")"),0)</f>
        <v>0</v>
      </c>
      <c r="M665" s="571"/>
      <c r="N665" s="588">
        <f ca="1">IFERROR(__xludf.DUMMYFUNCTION("IMPORTRANGE(""https://docs.google.com/spreadsheets/d/1XL5vhW3sbDhbH9Cz0tuDiY8C3ctxq1tqvaCgkFb8cCA/edit#gid=346597447"",""บึงกาฬ!M560"")"),0)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IFERROR(__xludf.DUMMYFUNCTION("IMPORTRANGE(""https://docs.google.com/spreadsheets/d/1XL5vhW3sbDhbH9Cz0tuDiY8C3ctxq1tqvaCgkFb8cCA/edit#gid=346597447"",""บึงกาฬ!J561"")"),0)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IFERROR(__xludf.DUMMYFUNCTION("IMPORTRANGE(""https://docs.google.com/spreadsheets/d/1XL5vhW3sbDhbH9Cz0tuDiY8C3ctxq1tqvaCgkFb8cCA/edit#gid=346597447"",""บึงกาฬ!J562"")"),0)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IFERROR(__xludf.DUMMYFUNCTION("IMPORTRANGE(""https://docs.google.com/spreadsheets/d/1XL5vhW3sbDhbH9Cz0tuDiY8C3ctxq1tqvaCgkFb8cCA/edit#gid=346597447"",""บึงกาฬ!I563"")"),0)</f>
        <v>0</v>
      </c>
      <c r="J668" s="586">
        <f ca="1">IFERROR(__xludf.DUMMYFUNCTION("IMPORTRANGE(""https://docs.google.com/spreadsheets/d/1XL5vhW3sbDhbH9Cz0tuDiY8C3ctxq1tqvaCgkFb8cCA/edit#gid=346597447"",""บึงกาฬ!J563"")"),0)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IFERROR(__xludf.DUMMYFUNCTION("IMPORTRANGE(""https://docs.google.com/spreadsheets/d/1XL5vhW3sbDhbH9Cz0tuDiY8C3ctxq1tqvaCgkFb8cCA/edit#gid=346597447"",""บึงกาฬ!L563"")"),0)</f>
        <v>0</v>
      </c>
      <c r="M668" s="571"/>
      <c r="N668" s="588">
        <f ca="1">IFERROR(__xludf.DUMMYFUNCTION("IMPORTRANGE(""https://docs.google.com/spreadsheets/d/1XL5vhW3sbDhbH9Cz0tuDiY8C3ctxq1tqvaCgkFb8cCA/edit#gid=346597447"",""บึงกาฬ!M563"")"),0)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IFERROR(__xludf.DUMMYFUNCTION("IMPORTRANGE(""https://docs.google.com/spreadsheets/d/1XL5vhW3sbDhbH9Cz0tuDiY8C3ctxq1tqvaCgkFb8cCA/edit#gid=346597447"",""บึงกาฬ!J564"")"),0)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IFERROR(__xludf.DUMMYFUNCTION("IMPORTRANGE(""https://docs.google.com/spreadsheets/d/1XL5vhW3sbDhbH9Cz0tuDiY8C3ctxq1tqvaCgkFb8cCA/edit#gid=346597447"",""บึงกาฬ!J565"")"),0)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IFERROR(__xludf.DUMMYFUNCTION("IMPORTRANGE(""https://docs.google.com/spreadsheets/d/1XL5vhW3sbDhbH9Cz0tuDiY8C3ctxq1tqvaCgkFb8cCA/edit#gid=346597447"",""บึงกาฬ!I566"")"),0)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IFERROR(__xludf.DUMMYFUNCTION("IMPORTRANGE(""https://docs.google.com/spreadsheets/d/1XL5vhW3sbDhbH9Cz0tuDiY8C3ctxq1tqvaCgkFb8cCA/edit#gid=346597447"",""บึงกาฬ!L566"")"),0)</f>
        <v>0</v>
      </c>
      <c r="M671" s="571"/>
      <c r="N671" s="588">
        <f ca="1">IFERROR(__xludf.DUMMYFUNCTION("IMPORTRANGE(""https://docs.google.com/spreadsheets/d/1XL5vhW3sbDhbH9Cz0tuDiY8C3ctxq1tqvaCgkFb8cCA/edit#gid=346597447"",""บึงกาฬ!M566"")"),0)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IFERROR(__xludf.DUMMYFUNCTION("IMPORTRANGE(""https://docs.google.com/spreadsheets/d/1XL5vhW3sbDhbH9Cz0tuDiY8C3ctxq1tqvaCgkFb8cCA/edit#gid=346597447"",""บึงกาฬ!J567"")"),0)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IFERROR(__xludf.DUMMYFUNCTION("IMPORTRANGE(""https://docs.google.com/spreadsheets/d/1XL5vhW3sbDhbH9Cz0tuDiY8C3ctxq1tqvaCgkFb8cCA/edit#gid=346597447"",""บึงกาฬ!J568"")"),0)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IFERROR(__xludf.DUMMYFUNCTION("IMPORTRANGE(""https://docs.google.com/spreadsheets/d/1XL5vhW3sbDhbH9Cz0tuDiY8C3ctxq1tqvaCgkFb8cCA/edit#gid=346597447"",""บึงกาฬ!J569"")"),0)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IFERROR(__xludf.DUMMYFUNCTION("IMPORTRANGE(""https://docs.google.com/spreadsheets/d/1XL5vhW3sbDhbH9Cz0tuDiY8C3ctxq1tqvaCgkFb8cCA/edit#gid=346597447"",""บึงกาฬ!J570"")"),0)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IFERROR(__xludf.DUMMYFUNCTION("IMPORTRANGE(""https://docs.google.com/spreadsheets/d/1XL5vhW3sbDhbH9Cz0tuDiY8C3ctxq1tqvaCgkFb8cCA/edit#gid=346597447"",""บึงกาฬ!J571"")"),0)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IFERROR(__xludf.DUMMYFUNCTION("IMPORTRANGE(""https://docs.google.com/spreadsheets/d/1XL5vhW3sbDhbH9Cz0tuDiY8C3ctxq1tqvaCgkFb8cCA/edit#gid=346597447"",""บึงกาฬ!J572"")"),0)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9280419</v>
      </c>
      <c r="M8" s="23">
        <f t="shared" ca="1" si="0"/>
        <v>5504923.2599999998</v>
      </c>
      <c r="N8" s="23">
        <f t="shared" ca="1" si="0"/>
        <v>6005586.2100000009</v>
      </c>
      <c r="O8" s="22">
        <f t="shared" ref="O8:O16" ca="1" si="1">IF(L8&gt;0,N8*100/L8,0)</f>
        <v>64.712446819480903</v>
      </c>
      <c r="P8" s="22">
        <f t="shared" ref="P8:P16" ca="1" si="2">IF(M8&gt;0,N8*100/M8,0)</f>
        <v>109.09482160519711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9280419</v>
      </c>
      <c r="M10" s="30">
        <f t="shared" ca="1" si="4"/>
        <v>5504923.2599999998</v>
      </c>
      <c r="N10" s="30">
        <f t="shared" ca="1" si="4"/>
        <v>6005586.2100000009</v>
      </c>
      <c r="O10" s="29">
        <f t="shared" ca="1" si="1"/>
        <v>64.712446819480903</v>
      </c>
      <c r="P10" s="29">
        <f t="shared" ca="1" si="2"/>
        <v>109.09482160519711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8421519</v>
      </c>
      <c r="M12" s="38">
        <f t="shared" ca="1" si="6"/>
        <v>4646023.26</v>
      </c>
      <c r="N12" s="38">
        <f t="shared" ca="1" si="6"/>
        <v>5146686.2100000009</v>
      </c>
      <c r="O12" s="38">
        <f t="shared" ca="1" si="1"/>
        <v>61.113514200941673</v>
      </c>
      <c r="P12" s="38">
        <f t="shared" ca="1" si="2"/>
        <v>110.77616107328747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6018719</v>
      </c>
      <c r="M14" s="38">
        <f t="shared" si="8"/>
        <v>0</v>
      </c>
      <c r="N14" s="38">
        <f t="shared" ca="1" si="8"/>
        <v>1272254.4300000002</v>
      </c>
      <c r="O14" s="38">
        <f t="shared" ca="1" si="1"/>
        <v>21.138292550291851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5323922</v>
      </c>
      <c r="M18" s="23">
        <f t="shared" ca="1" si="11"/>
        <v>5504923.2599999998</v>
      </c>
      <c r="N18" s="23">
        <f t="shared" ca="1" si="11"/>
        <v>4733331.78</v>
      </c>
      <c r="O18" s="22">
        <f t="shared" ref="O18:O20" ca="1" si="12">IF(L18&gt;0,N18*100/L18,0)</f>
        <v>88.906858139544497</v>
      </c>
      <c r="P18" s="22">
        <f t="shared" ref="P18:P26" ca="1" si="13">IF(M18&gt;0,N18*100/M18,0)</f>
        <v>85.983610605318418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5323922</v>
      </c>
      <c r="M20" s="30">
        <f t="shared" ca="1" si="15"/>
        <v>5504923.2599999998</v>
      </c>
      <c r="N20" s="30">
        <f t="shared" ca="1" si="15"/>
        <v>4733331.78</v>
      </c>
      <c r="O20" s="29">
        <f t="shared" ca="1" si="12"/>
        <v>88.906858139544497</v>
      </c>
      <c r="P20" s="29">
        <f t="shared" ca="1" si="13"/>
        <v>85.983610605318418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4465022</v>
      </c>
      <c r="M22" s="41">
        <f t="shared" ca="1" si="18"/>
        <v>4646023.26</v>
      </c>
      <c r="N22" s="38">
        <f t="shared" ca="1" si="18"/>
        <v>3874431.7800000003</v>
      </c>
      <c r="O22" s="38">
        <f t="shared" ca="1" si="17"/>
        <v>86.772960581157264</v>
      </c>
      <c r="P22" s="38">
        <f t="shared" ca="1" si="13"/>
        <v>83.392431832121304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2062222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3956497</v>
      </c>
      <c r="M28" s="23">
        <f t="shared" si="23"/>
        <v>0</v>
      </c>
      <c r="N28" s="23">
        <f t="shared" ca="1" si="23"/>
        <v>1272254.4300000002</v>
      </c>
      <c r="O28" s="22">
        <f t="shared" ref="O28:O30" ca="1" si="24">IF(L28&gt;0,N28*100/L28,0)</f>
        <v>32.156082261657225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3956497</v>
      </c>
      <c r="M30" s="30">
        <f t="shared" si="27"/>
        <v>0</v>
      </c>
      <c r="N30" s="30">
        <f t="shared" ca="1" si="27"/>
        <v>1272254.4300000002</v>
      </c>
      <c r="O30" s="29">
        <f t="shared" ca="1" si="24"/>
        <v>32.156082261657225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3956497</v>
      </c>
      <c r="M32" s="38">
        <f t="shared" si="30"/>
        <v>0</v>
      </c>
      <c r="N32" s="38">
        <f t="shared" ca="1" si="30"/>
        <v>1272254.4300000002</v>
      </c>
      <c r="O32" s="38">
        <f t="shared" ca="1" si="29"/>
        <v>32.156082261657225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3956497</v>
      </c>
      <c r="M34" s="38">
        <f t="shared" si="32"/>
        <v>0</v>
      </c>
      <c r="N34" s="38">
        <f t="shared" ca="1" si="32"/>
        <v>1272254.4300000002</v>
      </c>
      <c r="O34" s="38">
        <f t="shared" ca="1" si="29"/>
        <v>32.156082261657225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5323922</v>
      </c>
      <c r="M37" s="54">
        <f t="shared" ca="1" si="33"/>
        <v>5504923.2599999998</v>
      </c>
      <c r="N37" s="54">
        <f t="shared" ca="1" si="33"/>
        <v>4733331.7799999993</v>
      </c>
      <c r="O37" s="55">
        <f t="shared" ca="1" si="29"/>
        <v>88.906858139544482</v>
      </c>
      <c r="P37" s="55">
        <f t="shared" ca="1" si="25"/>
        <v>85.983610605318404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1577600</v>
      </c>
      <c r="N41" s="78">
        <f t="shared" ca="1" si="34"/>
        <v>1524728.0899999999</v>
      </c>
      <c r="O41" s="77">
        <f t="shared" ref="O41:O43" ca="1" si="35">IF(L41&gt;0,N41*100/L41,0)</f>
        <v>96.648585826572003</v>
      </c>
      <c r="P41" s="77">
        <f t="shared" ref="P41:P43" ca="1" si="36">IF(M41&gt;0,N41*100/M41,0)</f>
        <v>96.648585826572003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1577600</v>
      </c>
      <c r="N43" s="78">
        <f t="shared" ca="1" si="38"/>
        <v>1524728.0899999999</v>
      </c>
      <c r="O43" s="77">
        <f t="shared" ca="1" si="35"/>
        <v>96.648585826572003</v>
      </c>
      <c r="P43" s="77">
        <f t="shared" ca="1" si="36"/>
        <v>96.648585826572003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623">
        <f ca="1">IFERROR(__xludf.DUMMYFUNCTION("IMPORTRANGE(""https://docs.google.com/spreadsheets/d/1Yj_ptqi66GCucihVvJfMjLAmec39IyEx_6qawtMGysU/edit?usp=sharing"",""สบก!Q44"")"),724100)</f>
        <v>724100</v>
      </c>
      <c r="N45" s="623">
        <f ca="1">IFERROR(__xludf.DUMMYFUNCTION("IMPORTRANGE(""https://docs.google.com/spreadsheets/d/1Yj_ptqi66GCucihVvJfMjLAmec39IyEx_6qawtMGysU/edit?usp=sharing"",""สบก!R44"")"),671228.09)</f>
        <v>671228.09</v>
      </c>
      <c r="O45" s="624">
        <f ca="1">IF(L45&gt;0,N45*100/L45,0)</f>
        <v>92.698258527827647</v>
      </c>
      <c r="P45" s="624">
        <f ca="1">IF(M45&gt;0,N45*100/M45,0)</f>
        <v>92.698258527827647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IFERROR(__xludf.DUMMYFUNCTION("IMPORTRANGE(""https://docs.google.com/spreadsheets/d/1Yj_ptqi66GCucihVvJfMjLAmec39IyEx_6qawtMGysU/edit?usp=sharing"",""สบก!M44"")"),724100)</f>
        <v>724100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IFERROR(__xludf.DUMMYFUNCTION("IMPORTRANGE(""https://docs.google.com/spreadsheets/d/1Yj_ptqi66GCucihVvJfMjLAmec39IyEx_6qawtMGysU/edit?usp=sharing"",""สบก!O44"")"),853500)</f>
        <v>853500</v>
      </c>
      <c r="M49" s="626">
        <f ca="1">L49</f>
        <v>853500</v>
      </c>
      <c r="N49" s="623">
        <f ca="1">IFERROR(__xludf.DUMMYFUNCTION("IMPORTRANGE(""https://docs.google.com/spreadsheets/d/1Yj_ptqi66GCucihVvJfMjLAmec39IyEx_6qawtMGysU/edit?usp=sharing"",""สบก!S44"")"),853500)</f>
        <v>853500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810781.26</v>
      </c>
      <c r="N53" s="121">
        <f t="shared" ca="1" si="39"/>
        <v>737401.26</v>
      </c>
      <c r="O53" s="120">
        <f t="shared" ref="O53:O55" ca="1" si="40">IF(L53&gt;0,N53*100/L53,0)</f>
        <v>94.248627300613492</v>
      </c>
      <c r="P53" s="120">
        <f t="shared" ref="P53:P55" ca="1" si="41">IF(M53&gt;0,N53*100/M53,0)</f>
        <v>90.949470144388883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810781.26</v>
      </c>
      <c r="N55" s="121">
        <f t="shared" ca="1" si="43"/>
        <v>737401.26</v>
      </c>
      <c r="O55" s="120">
        <f t="shared" ca="1" si="40"/>
        <v>94.248627300613492</v>
      </c>
      <c r="P55" s="120">
        <f t="shared" ca="1" si="41"/>
        <v>90.949470144388883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623">
        <f ca="1">IFERROR(__xludf.DUMMYFUNCTION("IMPORTRANGE(""https://docs.google.com/spreadsheets/d/1Yj_ptqi66GCucihVvJfMjLAmec39IyEx_6qawtMGysU/edit?usp=sharing"",""สบก!Z44"")"),810781.26)</f>
        <v>810781.26</v>
      </c>
      <c r="N57" s="623">
        <f ca="1">IFERROR(__xludf.DUMMYFUNCTION("IMPORTRANGE(""https://docs.google.com/spreadsheets/d/1Yj_ptqi66GCucihVvJfMjLAmec39IyEx_6qawtMGysU/edit?usp=sharing"",""สบก!AA44"")"),737401.26)</f>
        <v>737401.26</v>
      </c>
      <c r="O57" s="624">
        <f ca="1">IF(L57&gt;0,N57*100/L57,0)</f>
        <v>94.248627300613492</v>
      </c>
      <c r="P57" s="624">
        <f ca="1">IF(M57&gt;0,N57*100/M57,0)</f>
        <v>90.949470144388883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IFERROR(__xludf.DUMMYFUNCTION("IMPORTRANGE(""https://docs.google.com/spreadsheets/d/1Yj_ptqi66GCucihVvJfMjLAmec39IyEx_6qawtMGysU/edit?usp=sharing"",""สบก!V44"")"),782400)</f>
        <v>782400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IFERROR(__xludf.DUMMYFUNCTION("IMPORTRANGE(""https://docs.google.com/spreadsheets/d/1Yj_ptqi66GCucihVvJfMjLAmec39IyEx_6qawtMGysU/edit?usp=sharing"",""สบก!X44"")"),0)</f>
        <v>0</v>
      </c>
      <c r="M61" s="626"/>
      <c r="N61" s="623">
        <f ca="1">IFERROR(__xludf.DUMMYFUNCTION("IMPORTRANGE(""https://docs.google.com/spreadsheets/d/1Yj_ptqi66GCucihVvJfMjLAmec39IyEx_6qawtMGysU/edit?usp=sharing"",""สบก!AB44"")"),0)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773100</v>
      </c>
      <c r="N66" s="152">
        <f t="shared" ca="1" si="45"/>
        <v>632740.79</v>
      </c>
      <c r="O66" s="151">
        <f t="shared" ref="O66:O68" ca="1" si="46">IF(L66&gt;0,N66*100/L66,0)</f>
        <v>84.018163590492634</v>
      </c>
      <c r="P66" s="151">
        <f t="shared" ref="P66:P68" ca="1" si="47">IF(M66&gt;0,N66*100/M66,0)</f>
        <v>81.844624240072434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773100</v>
      </c>
      <c r="N68" s="157">
        <f t="shared" ca="1" si="49"/>
        <v>632740.79</v>
      </c>
      <c r="O68" s="156">
        <f t="shared" ca="1" si="46"/>
        <v>84.018163590492634</v>
      </c>
      <c r="P68" s="156">
        <f t="shared" ca="1" si="47"/>
        <v>81.844624240072434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753100</v>
      </c>
      <c r="M70" s="627">
        <f ca="1">IFERROR(__xludf.DUMMYFUNCTION("IMPORTRANGE(""https://docs.google.com/spreadsheets/d/1Yj_ptqi66GCucihVvJfMjLAmec39IyEx_6qawtMGysU/edit?usp=sharing"",""สบก!AI44"")"),773100)</f>
        <v>773100</v>
      </c>
      <c r="N70" s="628">
        <f ca="1">IFERROR(__xludf.DUMMYFUNCTION("IMPORTRANGE(""https://docs.google.com/spreadsheets/d/1Yj_ptqi66GCucihVvJfMjLAmec39IyEx_6qawtMGysU/edit?usp=sharing"",""สบก!AJ44"")"),632740.79)</f>
        <v>632740.79</v>
      </c>
      <c r="O70" s="169">
        <f ca="1">IF(L70&gt;0,N70*100/L70,0)</f>
        <v>84.018163590492634</v>
      </c>
      <c r="P70" s="169">
        <f ca="1">IF(M70&gt;0,N70*100/M70,0)</f>
        <v>81.844624240072434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IFERROR(__xludf.DUMMYFUNCTION("IMPORTRANGE(""https://docs.google.com/spreadsheets/d/1Yj_ptqi66GCucihVvJfMjLAmec39IyEx_6qawtMGysU/edit?usp=sharing"",""สบก!AF44"")"),563600)</f>
        <v>563600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IFERROR(__xludf.DUMMYFUNCTION("IMPORTRANGE(""https://docs.google.com/spreadsheets/d/1Yj_ptqi66GCucihVvJfMjLAmec39IyEx_6qawtMGysU/edit?usp=sharing"",""สบก!AG44"")"),0)</f>
        <v>0</v>
      </c>
      <c r="M74" s="626"/>
      <c r="N74" s="623">
        <f ca="1">IFERROR(__xludf.DUMMYFUNCTION("IMPORTRANGE(""https://docs.google.com/spreadsheets/d/1Yj_ptqi66GCucihVvJfMjLAmec39IyEx_6qawtMGysU/edit?usp=sharing"",""สบก!AK44"")"),0)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IFERROR(__xludf.DUMMYFUNCTION("IMPORTRANGE(""https://docs.google.com/spreadsheets/d/1XL5vhW3sbDhbH9Cz0tuDiY8C3ctxq1tqvaCgkFb8cCA/edit?usp=sharing"",""บุรีรัมย์!I28"")"),1)</f>
        <v>1</v>
      </c>
      <c r="J88" s="204">
        <f ca="1">IFERROR(__xludf.DUMMYFUNCTION("IMPORTRANGE(""https://docs.google.com/spreadsheets/d/1XL5vhW3sbDhbH9Cz0tuDiY8C3ctxq1tqvaCgkFb8cCA/edit?usp=sharing"",""บุรีรัมย์!J28"")"),1)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IFERROR(__xludf.DUMMYFUNCTION("IMPORTRANGE(""https://docs.google.com/spreadsheets/d/1XL5vhW3sbDhbH9Cz0tuDiY8C3ctxq1tqvaCgkFb8cCA/edit?usp=sharing"",""บุรีรัมย์!J30"")"),1)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IFERROR(__xludf.DUMMYFUNCTION("IMPORTRANGE(""https://docs.google.com/spreadsheets/d/1Yj_ptqi66GCucihVvJfMjLAmec39IyEx_6qawtMGysU/edit?usp=sharing"",""สบก!AR44"")"),0)</f>
        <v>0</v>
      </c>
      <c r="N98" s="628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IFERROR(__xludf.DUMMYFUNCTION("IMPORTRANGE(""https://docs.google.com/spreadsheets/d/1Yj_ptqi66GCucihVvJfMjLAmec39IyEx_6qawtMGysU/edit?usp=sharing"",""สบก!AP44"")"),0)</f>
        <v>0</v>
      </c>
      <c r="M102" s="626"/>
      <c r="N102" s="623">
        <f ca="1">IFERROR(__xludf.DUMMYFUNCTION("IMPORTRANGE(""https://docs.google.com/spreadsheets/d/1Yj_ptqi66GCucihVvJfMjLAmec39IyEx_6qawtMGysU/edit?usp=sharing"",""สบก!AT44"")"),0)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85497</v>
      </c>
      <c r="M118" s="152">
        <f t="shared" ca="1" si="58"/>
        <v>85497</v>
      </c>
      <c r="N118" s="152">
        <f t="shared" ca="1" si="58"/>
        <v>69840</v>
      </c>
      <c r="O118" s="151">
        <f t="shared" ref="O118:O120" ca="1" si="59">IF(L118&gt;0,N118*100/L118,0)</f>
        <v>81.687076739534717</v>
      </c>
      <c r="P118" s="151">
        <f t="shared" ref="P118:P120" ca="1" si="60">IF(M118&gt;0,N118*100/M118,0)</f>
        <v>81.687076739534717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85497</v>
      </c>
      <c r="M120" s="157">
        <f t="shared" ca="1" si="62"/>
        <v>85497</v>
      </c>
      <c r="N120" s="157">
        <f t="shared" ca="1" si="62"/>
        <v>69840</v>
      </c>
      <c r="O120" s="156">
        <f t="shared" ca="1" si="59"/>
        <v>81.687076739534717</v>
      </c>
      <c r="P120" s="156">
        <f t="shared" ca="1" si="60"/>
        <v>81.687076739534717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85497</v>
      </c>
      <c r="M122" s="627">
        <f ca="1">IFERROR(__xludf.DUMMYFUNCTION("IMPORTRANGE(""https://docs.google.com/spreadsheets/d/1Yj_ptqi66GCucihVvJfMjLAmec39IyEx_6qawtMGysU/edit?usp=sharing"",""สบก!BA44"")"),85497)</f>
        <v>85497</v>
      </c>
      <c r="N122" s="628">
        <f ca="1">IFERROR(__xludf.DUMMYFUNCTION("IMPORTRANGE(""https://docs.google.com/spreadsheets/d/1Yj_ptqi66GCucihVvJfMjLAmec39IyEx_6qawtMGysU/edit?usp=sharing"",""สบก!BB44"")"),69840)</f>
        <v>69840</v>
      </c>
      <c r="O122" s="169">
        <f ca="1">IF(L122&gt;0,N122*100/L122,0)</f>
        <v>81.687076739534717</v>
      </c>
      <c r="P122" s="169">
        <f ca="1">IF(M122&gt;0,N122*100/M122,0)</f>
        <v>81.687076739534717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IFERROR(__xludf.DUMMYFUNCTION("IMPORTRANGE(""https://docs.google.com/spreadsheets/d/1Yj_ptqi66GCucihVvJfMjLAmec39IyEx_6qawtMGysU/edit?usp=sharing"",""สบก!AX44"")"),85497)</f>
        <v>85497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IFERROR(__xludf.DUMMYFUNCTION("IMPORTRANGE(""https://docs.google.com/spreadsheets/d/1Yj_ptqi66GCucihVvJfMjLAmec39IyEx_6qawtMGysU/edit?usp=sharing"",""สบก!AY44"")"),0)</f>
        <v>0</v>
      </c>
      <c r="M126" s="626"/>
      <c r="N126" s="623">
        <f ca="1">IFERROR(__xludf.DUMMYFUNCTION("IMPORTRANGE(""https://docs.google.com/spreadsheets/d/1Yj_ptqi66GCucihVvJfMjLAmec39IyEx_6qawtMGysU/edit?usp=sharing"",""สบก!BC44"")"),0)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99500</v>
      </c>
      <c r="M140" s="152">
        <f t="shared" ca="1" si="64"/>
        <v>99500</v>
      </c>
      <c r="N140" s="152">
        <f t="shared" ca="1" si="64"/>
        <v>99500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99500</v>
      </c>
      <c r="M142" s="157">
        <f t="shared" ca="1" si="68"/>
        <v>99500</v>
      </c>
      <c r="N142" s="157">
        <f t="shared" ca="1" si="68"/>
        <v>99500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99500</v>
      </c>
      <c r="M144" s="627">
        <f ca="1">IFERROR(__xludf.DUMMYFUNCTION("IMPORTRANGE(""https://docs.google.com/spreadsheets/d/1Yj_ptqi66GCucihVvJfMjLAmec39IyEx_6qawtMGysU/edit?usp=sharing"",""สบก!BJ44"")"),99500)</f>
        <v>99500</v>
      </c>
      <c r="N144" s="628">
        <f ca="1">IFERROR(__xludf.DUMMYFUNCTION("IMPORTRANGE(""https://docs.google.com/spreadsheets/d/1Yj_ptqi66GCucihVvJfMjLAmec39IyEx_6qawtMGysU/edit?usp=sharing"",""สบก!BK44"")"),99500)</f>
        <v>99500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IFERROR(__xludf.DUMMYFUNCTION("IMPORTRANGE(""https://docs.google.com/spreadsheets/d/1Yj_ptqi66GCucihVvJfMjLAmec39IyEx_6qawtMGysU/edit?usp=sharing"",""สบก!BG44"")"),99500)</f>
        <v>99500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IFERROR(__xludf.DUMMYFUNCTION("IMPORTRANGE(""https://docs.google.com/spreadsheets/d/1Yj_ptqi66GCucihVvJfMjLAmec39IyEx_6qawtMGysU/edit?usp=sharing"",""สบก!BH44"")"),0)</f>
        <v>0</v>
      </c>
      <c r="M148" s="626"/>
      <c r="N148" s="623">
        <f ca="1">IFERROR(__xludf.DUMMYFUNCTION("IMPORTRANGE(""https://docs.google.com/spreadsheets/d/1Yj_ptqi66GCucihVvJfMjLAmec39IyEx_6qawtMGysU/edit?usp=sharing"",""สบก!BL44"")"),0)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IFERROR(__xludf.DUMMYFUNCTION("IMPORTRANGE(""https://docs.google.com/spreadsheets/d/1XL5vhW3sbDhbH9Cz0tuDiY8C3ctxq1tqvaCgkFb8cCA/edit?usp=sharing"",""บุรีรัมย์!J84"")"),240)</f>
        <v>240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IFERROR(__xludf.DUMMYFUNCTION("IMPORTRANGE(""https://docs.google.com/spreadsheets/d/1XL5vhW3sbDhbH9Cz0tuDiY8C3ctxq1tqvaCgkFb8cCA/edit?usp=sharing"",""บุรีรัมย์!J85"")"),240)</f>
        <v>240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IFERROR(__xludf.DUMMYFUNCTION("IMPORTRANGE(""https://docs.google.com/spreadsheets/d/1XL5vhW3sbDhbH9Cz0tuDiY8C3ctxq1tqvaCgkFb8cCA/edit?usp=sharing"",""บุรีรัมย์!J88"")"),1)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IFERROR(__xludf.DUMMYFUNCTION("IMPORTRANGE(""https://docs.google.com/spreadsheets/d/1XL5vhW3sbDhbH9Cz0tuDiY8C3ctxq1tqvaCgkFb8cCA/edit?usp=sharing"",""บุรีรัมย์!I89"")"),3)</f>
        <v>3</v>
      </c>
      <c r="J164" s="285">
        <f ca="1">IFERROR(__xludf.DUMMYFUNCTION("IMPORTRANGE(""https://docs.google.com/spreadsheets/d/1XL5vhW3sbDhbH9Cz0tuDiY8C3ctxq1tqvaCgkFb8cCA/edit?usp=sharing"",""บุรีรัมย์!J89"")"),3)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IFERROR(__xludf.DUMMYFUNCTION("IMPORTRANGE(""https://docs.google.com/spreadsheets/d/1XL5vhW3sbDhbH9Cz0tuDiY8C3ctxq1tqvaCgkFb8cCA/edit?usp=sharing"",""บุรีรัมย์!J100"")"),1)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IFERROR(__xludf.DUMMYFUNCTION("IMPORTRANGE(""https://docs.google.com/spreadsheets/d/1XL5vhW3sbDhbH9Cz0tuDiY8C3ctxq1tqvaCgkFb8cCA/edit?usp=sharing"",""บุรีรัมย์!I101"")"),1)</f>
        <v>1</v>
      </c>
      <c r="J176" s="285">
        <f ca="1">IFERROR(__xludf.DUMMYFUNCTION("IMPORTRANGE(""https://docs.google.com/spreadsheets/d/1XL5vhW3sbDhbH9Cz0tuDiY8C3ctxq1tqvaCgkFb8cCA/edit?usp=sharing"",""บุรีรัมย์!J101"")"),1)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IFERROR(__xludf.DUMMYFUNCTION("IMPORTRANGE(""https://docs.google.com/spreadsheets/d/1XL5vhW3sbDhbH9Cz0tuDiY8C3ctxq1tqvaCgkFb8cCA/edit?usp=sharing"",""บุรีรัมย์!J113"")"),1)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IFERROR(__xludf.DUMMYFUNCTION("IMPORTRANGE(""https://docs.google.com/spreadsheets/d/1XL5vhW3sbDhbH9Cz0tuDiY8C3ctxq1tqvaCgkFb8cCA/edit?usp=sharing"",""บุรีรัมย์!I114"")"),100000)</f>
        <v>100000</v>
      </c>
      <c r="J189" s="285">
        <f ca="1">IFERROR(__xludf.DUMMYFUNCTION("IMPORTRANGE(""https://docs.google.com/spreadsheets/d/1XL5vhW3sbDhbH9Cz0tuDiY8C3ctxq1tqvaCgkFb8cCA/edit?usp=sharing"",""บุรีรัมย์!J114"")"),100000)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IFERROR(__xludf.DUMMYFUNCTION("IMPORTRANGE(""https://docs.google.com/spreadsheets/d/1XL5vhW3sbDhbH9Cz0tuDiY8C3ctxq1tqvaCgkFb8cCA/edit?usp=sharing"",""บุรีรัมย์!J128"")"),1)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IFERROR(__xludf.DUMMYFUNCTION("IMPORTRANGE(""https://docs.google.com/spreadsheets/d/1XL5vhW3sbDhbH9Cz0tuDiY8C3ctxq1tqvaCgkFb8cCA/edit?usp=sharing"",""บุรีรัมย์!I129"")"),0)</f>
        <v>0</v>
      </c>
      <c r="J204" s="285">
        <f ca="1">IFERROR(__xludf.DUMMYFUNCTION("IMPORTRANGE(""https://docs.google.com/spreadsheets/d/1XL5vhW3sbDhbH9Cz0tuDiY8C3ctxq1tqvaCgkFb8cCA/edit?usp=sharing"",""บุรีรัมย์!J129"")"),0)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IFERROR(__xludf.DUMMYFUNCTION("IMPORTRANGE(""https://docs.google.com/spreadsheets/d/1Yj_ptqi66GCucihVvJfMjLAmec39IyEx_6qawtMGysU/edit?usp=sharing"",""สบก!BS44"")"),21125)</f>
        <v>21125</v>
      </c>
      <c r="N224" s="628">
        <f ca="1">IFERROR(__xludf.DUMMYFUNCTION("IMPORTRANGE(""https://docs.google.com/spreadsheets/d/1Yj_ptqi66GCucihVvJfMjLAmec39IyEx_6qawtMGysU/edit?usp=sharing"",""สบก!BT44"")"),21125)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IFERROR(__xludf.DUMMYFUNCTION("IMPORTRANGE(""https://docs.google.com/spreadsheets/d/1Yj_ptqi66GCucihVvJfMjLAmec39IyEx_6qawtMGysU/edit?usp=sharing"",""สบก!BQ44"")"),0)</f>
        <v>0</v>
      </c>
      <c r="M228" s="626"/>
      <c r="N228" s="623">
        <f ca="1">IFERROR(__xludf.DUMMYFUNCTION("IMPORTRANGE(""https://docs.google.com/spreadsheets/d/1Yj_ptqi66GCucihVvJfMjLAmec39IyEx_6qawtMGysU/edit?usp=sharing"",""สบก!BU44"")"),0)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IFERROR(__xludf.DUMMYFUNCTION("IMPORTRANGE(""https://docs.google.com/spreadsheets/d/1XL5vhW3sbDhbH9Cz0tuDiY8C3ctxq1tqvaCgkFb8cCA/edit?usp=sharing"",""บุรีรัมย์!J157"")"),1)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IFERROR(__xludf.DUMMYFUNCTION("IMPORTRANGE(""https://docs.google.com/spreadsheets/d/1XL5vhW3sbDhbH9Cz0tuDiY8C3ctxq1tqvaCgkFb8cCA/edit?usp=sharing"",""บุรีรัมย์!I169"")"),25)</f>
        <v>25</v>
      </c>
      <c r="J249" s="317">
        <f ca="1">IFERROR(__xludf.DUMMYFUNCTION("IMPORTRANGE(""https://docs.google.com/spreadsheets/d/1XL5vhW3sbDhbH9Cz0tuDiY8C3ctxq1tqvaCgkFb8cCA/edit?usp=sharing"",""บุรีรัมย์!J169"")"),25)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88270</v>
      </c>
      <c r="O250" s="151">
        <f t="shared" ref="O250:O252" ca="1" si="78">IF(L250&gt;0,N250*100/L250,0)</f>
        <v>99.17977528089888</v>
      </c>
      <c r="P250" s="151">
        <f t="shared" ref="P250:P252" ca="1" si="79">IF(M250&gt;0,N250*100/M250,0)</f>
        <v>99.17977528089888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88270</v>
      </c>
      <c r="O252" s="156">
        <f t="shared" ca="1" si="78"/>
        <v>99.17977528089888</v>
      </c>
      <c r="P252" s="156">
        <f t="shared" ca="1" si="79"/>
        <v>99.17977528089888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IFERROR(__xludf.DUMMYFUNCTION("IMPORTRANGE(""https://docs.google.com/spreadsheets/d/1Yj_ptqi66GCucihVvJfMjLAmec39IyEx_6qawtMGysU/edit?usp=sharing"",""สบก!CB44"")"),89000)</f>
        <v>89000</v>
      </c>
      <c r="N254" s="628">
        <f ca="1">IFERROR(__xludf.DUMMYFUNCTION("IMPORTRANGE(""https://docs.google.com/spreadsheets/d/1Yj_ptqi66GCucihVvJfMjLAmec39IyEx_6qawtMGysU/edit?usp=sharing"",""สบก!CC44"")"),88270)</f>
        <v>88270</v>
      </c>
      <c r="O254" s="169">
        <f ca="1">IF(L254&gt;0,N254*100/L254,0)</f>
        <v>99.17977528089888</v>
      </c>
      <c r="P254" s="169">
        <f ca="1">IF(M254&gt;0,N254*100/M254,0)</f>
        <v>99.17977528089888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IFERROR(__xludf.DUMMYFUNCTION("IMPORTRANGE(""https://docs.google.com/spreadsheets/d/1Yj_ptqi66GCucihVvJfMjLAmec39IyEx_6qawtMGysU/edit?usp=sharing"",""สบก!BZ44"")"),0)</f>
        <v>0</v>
      </c>
      <c r="M258" s="626"/>
      <c r="N258" s="623">
        <f ca="1">IFERROR(__xludf.DUMMYFUNCTION("IMPORTRANGE(""https://docs.google.com/spreadsheets/d/1Yj_ptqi66GCucihVvJfMjLAmec39IyEx_6qawtMGysU/edit?usp=sharing"",""สบก!CD44"")"),0)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IFERROR(__xludf.DUMMYFUNCTION("IMPORTRANGE(""https://docs.google.com/spreadsheets/d/1XL5vhW3sbDhbH9Cz0tuDiY8C3ctxq1tqvaCgkFb8cCA/edit?usp=sharing"",""บุรีรัมย์!J184"")"),1)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IFERROR(__xludf.DUMMYFUNCTION("IMPORTRANGE(""https://docs.google.com/spreadsheets/d/1XL5vhW3sbDhbH9Cz0tuDiY8C3ctxq1tqvaCgkFb8cCA/edit?usp=sharing"",""บุรีรัมย์!I185"")"),20)</f>
        <v>20</v>
      </c>
      <c r="J270" s="317">
        <f ca="1">IFERROR(__xludf.DUMMYFUNCTION("IMPORTRANGE(""https://docs.google.com/spreadsheets/d/1XL5vhW3sbDhbH9Cz0tuDiY8C3ctxq1tqvaCgkFb8cCA/edit?usp=sharing"",""บุรีรัมย์!J185"")"),20)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447600</v>
      </c>
      <c r="M271" s="152">
        <f t="shared" ca="1" si="83"/>
        <v>457720</v>
      </c>
      <c r="N271" s="152">
        <f t="shared" ca="1" si="83"/>
        <v>310685.46999999997</v>
      </c>
      <c r="O271" s="151">
        <f t="shared" ref="O271:O273" ca="1" si="84">IF(L271&gt;0,N271*100/L271,0)</f>
        <v>69.411409740840028</v>
      </c>
      <c r="P271" s="151">
        <f t="shared" ref="P271:P273" ca="1" si="85">IF(M271&gt;0,N271*100/M271,0)</f>
        <v>67.876752162894334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447600</v>
      </c>
      <c r="M273" s="157">
        <f t="shared" ca="1" si="87"/>
        <v>457720</v>
      </c>
      <c r="N273" s="157">
        <f t="shared" ca="1" si="87"/>
        <v>310685.46999999997</v>
      </c>
      <c r="O273" s="156">
        <f t="shared" ca="1" si="84"/>
        <v>69.411409740840028</v>
      </c>
      <c r="P273" s="156">
        <f t="shared" ca="1" si="85"/>
        <v>67.876752162894334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447600</v>
      </c>
      <c r="M275" s="627">
        <f ca="1">IFERROR(__xludf.DUMMYFUNCTION("IMPORTRANGE(""https://docs.google.com/spreadsheets/d/1Yj_ptqi66GCucihVvJfMjLAmec39IyEx_6qawtMGysU/edit?usp=sharing"",""สบก!CK44"")"),457720)</f>
        <v>457720</v>
      </c>
      <c r="N275" s="628">
        <f ca="1">IFERROR(__xludf.DUMMYFUNCTION("IMPORTRANGE(""https://docs.google.com/spreadsheets/d/1Yj_ptqi66GCucihVvJfMjLAmec39IyEx_6qawtMGysU/edit?usp=sharing"",""สบก!CL44"")"),310685.47)</f>
        <v>310685.46999999997</v>
      </c>
      <c r="O275" s="169">
        <f ca="1">IF(L275&gt;0,N275*100/L275,0)</f>
        <v>69.411409740840028</v>
      </c>
      <c r="P275" s="169">
        <f ca="1">IF(M275&gt;0,N275*100/M275,0)</f>
        <v>67.876752162894334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IFERROR(__xludf.DUMMYFUNCTION("IMPORTRANGE(""https://docs.google.com/spreadsheets/d/1Yj_ptqi66GCucihVvJfMjLAmec39IyEx_6qawtMGysU/edit?usp=sharing"",""สบก!CH44"")"),183600)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IFERROR(__xludf.DUMMYFUNCTION("IMPORTRANGE(""https://docs.google.com/spreadsheets/d/1Yj_ptqi66GCucihVvJfMjLAmec39IyEx_6qawtMGysU/edit?usp=sharing"",""สบก!CI44"")"),0)</f>
        <v>0</v>
      </c>
      <c r="M279" s="626"/>
      <c r="N279" s="623">
        <f ca="1">IFERROR(__xludf.DUMMYFUNCTION("IMPORTRANGE(""https://docs.google.com/spreadsheets/d/1Yj_ptqi66GCucihVvJfMjLAmec39IyEx_6qawtMGysU/edit?usp=sharing"",""สบก!CM44"")"),0)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IFERROR(__xludf.DUMMYFUNCTION("IMPORTRANGE(""https://docs.google.com/spreadsheets/d/1XL5vhW3sbDhbH9Cz0tuDiY8C3ctxq1tqvaCgkFb8cCA/edit?usp=sharing"",""บุรีรัมย์!J197"")"),1)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IFERROR(__xludf.DUMMYFUNCTION("IMPORTRANGE(""https://docs.google.com/spreadsheets/d/1XL5vhW3sbDhbH9Cz0tuDiY8C3ctxq1tqvaCgkFb8cCA/edit?usp=sharing"",""บุรีรัมย์!I199"")"),0)</f>
        <v>0</v>
      </c>
      <c r="J289" s="317">
        <f ca="1">IFERROR(__xludf.DUMMYFUNCTION("IMPORTRANGE(""https://docs.google.com/spreadsheets/d/1XL5vhW3sbDhbH9Cz0tuDiY8C3ctxq1tqvaCgkFb8cCA/edit?usp=sharing"",""บุรีรัมย์!J199"")"),0)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IFERROR(__xludf.DUMMYFUNCTION("IMPORTRANGE(""https://docs.google.com/spreadsheets/d/1Yj_ptqi66GCucihVvJfMjLAmec39IyEx_6qawtMGysU/edit?usp=sharing"",""สบก!CT44"")"),0)</f>
        <v>0</v>
      </c>
      <c r="N294" s="628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IFERROR(__xludf.DUMMYFUNCTION("IMPORTRANGE(""https://docs.google.com/spreadsheets/d/1Yj_ptqi66GCucihVvJfMjLAmec39IyEx_6qawtMGysU/edit?usp=sharing"",""สบก!CR44"")"),0)</f>
        <v>0</v>
      </c>
      <c r="M298" s="626"/>
      <c r="N298" s="623">
        <f ca="1">IFERROR(__xludf.DUMMYFUNCTION("IMPORTRANGE(""https://docs.google.com/spreadsheets/d/1Yj_ptqi66GCucihVvJfMjLAmec39IyEx_6qawtMGysU/edit?usp=sharing"",""สบก!CV44"")"),0)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IFERROR(__xludf.DUMMYFUNCTION("IMPORTRANGE(""https://docs.google.com/spreadsheets/d/1XL5vhW3sbDhbH9Cz0tuDiY8C3ctxq1tqvaCgkFb8cCA/edit?usp=sharing"",""บุรีรัมย์!I214"")"),0)</f>
        <v>0</v>
      </c>
      <c r="J309" s="334">
        <f ca="1">IFERROR(__xludf.DUMMYFUNCTION("IMPORTRANGE(""https://docs.google.com/spreadsheets/d/1XL5vhW3sbDhbH9Cz0tuDiY8C3ctxq1tqvaCgkFb8cCA/edit?usp=sharing"",""บุรีรัมย์!J214"")"),0)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IFERROR(__xludf.DUMMYFUNCTION("IMPORTRANGE(""https://docs.google.com/spreadsheets/d/1Yj_ptqi66GCucihVvJfMjLAmec39IyEx_6qawtMGysU/edit?usp=sharing"",""สบก!DC44"")"),0)</f>
        <v>0</v>
      </c>
      <c r="N314" s="628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IFERROR(__xludf.DUMMYFUNCTION("IMPORTRANGE(""https://docs.google.com/spreadsheets/d/1Yj_ptqi66GCucihVvJfMjLAmec39IyEx_6qawtMGysU/edit?usp=sharing"",""สบก!DA44"")"),0)</f>
        <v>0</v>
      </c>
      <c r="M318" s="626"/>
      <c r="N318" s="623">
        <f ca="1">IFERROR(__xludf.DUMMYFUNCTION("IMPORTRANGE(""https://docs.google.com/spreadsheets/d/1Yj_ptqi66GCucihVvJfMjLAmec39IyEx_6qawtMGysU/edit?usp=sharing"",""สบก!DE44"")"),0)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IFERROR(__xludf.DUMMYFUNCTION("IMPORTRANGE(""https://docs.google.com/spreadsheets/d/1XL5vhW3sbDhbH9Cz0tuDiY8C3ctxq1tqvaCgkFb8cCA/edit?usp=sharing"",""บุรีรัมย์!I228"")"),880)</f>
        <v>880</v>
      </c>
      <c r="J328" s="340">
        <f ca="1">IFERROR(__xludf.DUMMYFUNCTION("IMPORTRANGE(""https://docs.google.com/spreadsheets/d/1XL5vhW3sbDhbH9Cz0tuDiY8C3ctxq1tqvaCgkFb8cCA/edit?usp=sharing"",""บุรีรัมย์!J228"")"),968)</f>
        <v>968</v>
      </c>
      <c r="K328" s="318">
        <f ca="1">IF(I328&gt;0,J328*100/I328,0)</f>
        <v>110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1468100</v>
      </c>
      <c r="M329" s="152">
        <f t="shared" ca="1" si="98"/>
        <v>1590600</v>
      </c>
      <c r="N329" s="152">
        <f t="shared" ca="1" si="98"/>
        <v>1249041.17</v>
      </c>
      <c r="O329" s="151">
        <f t="shared" ref="O329:O331" ca="1" si="99">IF(L329&gt;0,N329*100/L329,0)</f>
        <v>85.078752809754107</v>
      </c>
      <c r="P329" s="151">
        <f t="shared" ref="P329:P331" ca="1" si="100">IF(M329&gt;0,N329*100/M329,0)</f>
        <v>78.526415817930342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1468100</v>
      </c>
      <c r="M331" s="157">
        <f t="shared" ca="1" si="102"/>
        <v>1590600</v>
      </c>
      <c r="N331" s="157">
        <f t="shared" ca="1" si="102"/>
        <v>1249041.17</v>
      </c>
      <c r="O331" s="156">
        <f t="shared" ca="1" si="99"/>
        <v>85.078752809754107</v>
      </c>
      <c r="P331" s="156">
        <f t="shared" ca="1" si="100"/>
        <v>78.526415817930342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1462700</v>
      </c>
      <c r="M333" s="627">
        <f ca="1">IFERROR(__xludf.DUMMYFUNCTION("IMPORTRANGE(""https://docs.google.com/spreadsheets/d/1Yj_ptqi66GCucihVvJfMjLAmec39IyEx_6qawtMGysU/edit?usp=sharing"",""สบก!DL44"")"),1585200)</f>
        <v>1585200</v>
      </c>
      <c r="N333" s="628">
        <f ca="1">IFERROR(__xludf.DUMMYFUNCTION("IMPORTRANGE(""https://docs.google.com/spreadsheets/d/1Yj_ptqi66GCucihVvJfMjLAmec39IyEx_6qawtMGysU/edit?usp=sharing"",""สบก!DM44"")"),1243641.17)</f>
        <v>1243641.17</v>
      </c>
      <c r="O333" s="169">
        <f ca="1">IF(L333&gt;0,N333*100/L333,0)</f>
        <v>85.023666507144327</v>
      </c>
      <c r="P333" s="169">
        <f ca="1">IF(M333&gt;0,N333*100/M333,0)</f>
        <v>78.453265833964167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IFERROR(__xludf.DUMMYFUNCTION("IMPORTRANGE(""https://docs.google.com/spreadsheets/d/1Yj_ptqi66GCucihVvJfMjLAmec39IyEx_6qawtMGysU/edit?usp=sharing"",""สบก!DI44"")"),1019900)</f>
        <v>1019900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IFERROR(__xludf.DUMMYFUNCTION("IMPORTRANGE(""https://docs.google.com/spreadsheets/d/1Yj_ptqi66GCucihVvJfMjLAmec39IyEx_6qawtMGysU/edit?usp=sharing"",""สบก!DJ44"")"),5400)</f>
        <v>5400</v>
      </c>
      <c r="M337" s="626">
        <f ca="1">L337</f>
        <v>5400</v>
      </c>
      <c r="N337" s="623">
        <f ca="1">IFERROR(__xludf.DUMMYFUNCTION("IMPORTRANGE(""https://docs.google.com/spreadsheets/d/1Yj_ptqi66GCucihVvJfMjLAmec39IyEx_6qawtMGysU/edit?usp=sharing"",""สบก!DN44"")"),5400)</f>
        <v>5400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IFERROR(__xludf.DUMMYFUNCTION("IMPORTRANGE(""https://docs.google.com/spreadsheets/d/1XL5vhW3sbDhbH9Cz0tuDiY8C3ctxq1tqvaCgkFb8cCA/edit?usp=sharing"",""บุรีรัมย์!J234"")"),994)</f>
        <v>994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IFERROR(__xludf.DUMMYFUNCTION("IMPORTRANGE(""https://docs.google.com/spreadsheets/d/1XL5vhW3sbDhbH9Cz0tuDiY8C3ctxq1tqvaCgkFb8cCA/edit?usp=sharing"",""บุรีรัมย์!J235"")"),6103.42)</f>
        <v>6103.42</v>
      </c>
      <c r="K340" s="343">
        <f t="shared" ca="1" si="103"/>
        <v>80.308157894736837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IFERROR(__xludf.DUMMYFUNCTION("IMPORTRANGE(""https://docs.google.com/spreadsheets/d/1XL5vhW3sbDhbH9Cz0tuDiY8C3ctxq1tqvaCgkFb8cCA/edit?usp=sharing"",""บุรีรัมย์!J236"")"),996)</f>
        <v>996</v>
      </c>
      <c r="K341" s="343">
        <f t="shared" ca="1" si="103"/>
        <v>113.18181818181819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IFERROR(__xludf.DUMMYFUNCTION("IMPORTRANGE(""https://docs.google.com/spreadsheets/d/1XL5vhW3sbDhbH9Cz0tuDiY8C3ctxq1tqvaCgkFb8cCA/edit?usp=sharing"",""บุรีรัมย์!J237"")"),6636.92)</f>
        <v>6636.92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IFERROR(__xludf.DUMMYFUNCTION("IMPORTRANGE(""https://docs.google.com/spreadsheets/d/1XL5vhW3sbDhbH9Cz0tuDiY8C3ctxq1tqvaCgkFb8cCA/edit?usp=sharing"",""บุรีรัมย์!J238"")"),376)</f>
        <v>376</v>
      </c>
      <c r="K343" s="343">
        <f t="shared" ca="1" si="103"/>
        <v>42.727272727272727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IFERROR(__xludf.DUMMYFUNCTION("IMPORTRANGE(""https://docs.google.com/spreadsheets/d/1XL5vhW3sbDhbH9Cz0tuDiY8C3ctxq1tqvaCgkFb8cCA/edit?usp=sharing"",""บุรีรัมย์!J239"")"),2484.62)</f>
        <v>2484.62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IFERROR(__xludf.DUMMYFUNCTION("IMPORTRANGE(""https://docs.google.com/spreadsheets/d/1XL5vhW3sbDhbH9Cz0tuDiY8C3ctxq1tqvaCgkFb8cCA/edit?usp=sharing"",""บุรีรัมย์!J240"")"),968)</f>
        <v>968</v>
      </c>
      <c r="K345" s="343">
        <f t="shared" ca="1" si="103"/>
        <v>110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IFERROR(__xludf.DUMMYFUNCTION("IMPORTRANGE(""https://docs.google.com/spreadsheets/d/1XL5vhW3sbDhbH9Cz0tuDiY8C3ctxq1tqvaCgkFb8cCA/edit?usp=sharing"",""บุรีรัมย์!J241"")"),6455.34)</f>
        <v>6455.34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IFERROR(__xludf.DUMMYFUNCTION("IMPORTRANGE(""https://docs.google.com/spreadsheets/d/1XL5vhW3sbDhbH9Cz0tuDiY8C3ctxq1tqvaCgkFb8cCA/edit?usp=sharing"",""บุรีรัมย์!L242"")"),3956497)</f>
        <v>3956497</v>
      </c>
      <c r="M347" s="358"/>
      <c r="N347" s="358">
        <f ca="1">IFERROR(__xludf.DUMMYFUNCTION("IMPORTRANGE(""https://docs.google.com/spreadsheets/d/1XL5vhW3sbDhbH9Cz0tuDiY8C3ctxq1tqvaCgkFb8cCA/edit?usp=sharing"",""บุรีรัมย์!M242"")"),1272254.43)</f>
        <v>1272254.43</v>
      </c>
      <c r="O347" s="358">
        <f ca="1">+IF(L347&gt;0,N347*100/L347,0)</f>
        <v>32.156082261657218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IFERROR(__xludf.DUMMYFUNCTION("IMPORTRANGE(""https://docs.google.com/spreadsheets/d/1XL5vhW3sbDhbH9Cz0tuDiY8C3ctxq1tqvaCgkFb8cCA/edit?usp=sharing"",""บุรีรัมย์!M244"")"),180551.34)</f>
        <v>180551.34</v>
      </c>
      <c r="O349" s="373">
        <f ca="1">+IF(L349&gt;0,N349*100/L349,0)</f>
        <v>22.28946335320914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IFERROR(__xludf.DUMMYFUNCTION("IMPORTRANGE(""https://docs.google.com/spreadsheets/d/1XL5vhW3sbDhbH9Cz0tuDiY8C3ctxq1tqvaCgkFb8cCA/edit?usp=sharing"",""บุรีรัมย์!M247"")"),180551.34)</f>
        <v>180551.34</v>
      </c>
      <c r="O352" s="165">
        <f t="shared" ca="1" si="105"/>
        <v>22.28946335320914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IFERROR(__xludf.DUMMYFUNCTION("IMPORTRANGE(""https://docs.google.com/spreadsheets/d/1XL5vhW3sbDhbH9Cz0tuDiY8C3ctxq1tqvaCgkFb8cCA/edit?usp=sharing"",""บุรีรัมย์!M249"")"),180551.34)</f>
        <v>180551.34</v>
      </c>
      <c r="O354" s="169">
        <f t="shared" ca="1" si="105"/>
        <v>22.28946335320914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IFERROR(__xludf.DUMMYFUNCTION("IMPORTRANGE(""https://docs.google.com/spreadsheets/d/1XL5vhW3sbDhbH9Cz0tuDiY8C3ctxq1tqvaCgkFb8cCA/edit?usp=sharing"",""บุรีรัมย์!M250"")"),67500)</f>
        <v>67500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IFERROR(__xludf.DUMMYFUNCTION("IMPORTRANGE(""https://docs.google.com/spreadsheets/d/1XL5vhW3sbDhbH9Cz0tuDiY8C3ctxq1tqvaCgkFb8cCA/edit?usp=sharing"",""บุรีรัมย์!M252"")"),99319.34)</f>
        <v>99319.34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IFERROR(__xludf.DUMMYFUNCTION("IMPORTRANGE(""https://docs.google.com/spreadsheets/d/1XL5vhW3sbDhbH9Cz0tuDiY8C3ctxq1tqvaCgkFb8cCA/edit?usp=sharing"",""บุรีรัมย์!M253"")"),13732)</f>
        <v>13732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IFERROR(__xludf.DUMMYFUNCTION("IMPORTRANGE(""https://docs.google.com/spreadsheets/d/1XL5vhW3sbDhbH9Cz0tuDiY8C3ctxq1tqvaCgkFb8cCA/edit?usp=sharing"",""บุรีรัมย์!M275"")"),300824.96)</f>
        <v>300824.96000000002</v>
      </c>
      <c r="O380" s="373">
        <f ca="1">+IF(L380&gt;0,N380*100/L380,0)</f>
        <v>29.248333527787505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IFERROR(__xludf.DUMMYFUNCTION("IMPORTRANGE(""https://docs.google.com/spreadsheets/d/1XL5vhW3sbDhbH9Cz0tuDiY8C3ctxq1tqvaCgkFb8cCA/edit?usp=sharing"",""บุรีรัมย์!M278"")"),300824.96)</f>
        <v>300824.96000000002</v>
      </c>
      <c r="O383" s="165">
        <f t="shared" ca="1" si="109"/>
        <v>29.248333527787505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IFERROR(__xludf.DUMMYFUNCTION("IMPORTRANGE(""https://docs.google.com/spreadsheets/d/1XL5vhW3sbDhbH9Cz0tuDiY8C3ctxq1tqvaCgkFb8cCA/edit?usp=sharing"",""บุรีรัมย์!M280"")"),300824.96)</f>
        <v>300824.96000000002</v>
      </c>
      <c r="O385" s="169">
        <f t="shared" ca="1" si="109"/>
        <v>29.248333527787505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IFERROR(__xludf.DUMMYFUNCTION("IMPORTRANGE(""https://docs.google.com/spreadsheets/d/1XL5vhW3sbDhbH9Cz0tuDiY8C3ctxq1tqvaCgkFb8cCA/edit?usp=sharing"",""บุรีรัมย์!M281"")"),195455)</f>
        <v>195455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IFERROR(__xludf.DUMMYFUNCTION("IMPORTRANGE(""https://docs.google.com/spreadsheets/d/1XL5vhW3sbDhbH9Cz0tuDiY8C3ctxq1tqvaCgkFb8cCA/edit?usp=sharing"",""บุรีรัมย์!M283"")"),94599.96)</f>
        <v>94599.96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IFERROR(__xludf.DUMMYFUNCTION("IMPORTRANGE(""https://docs.google.com/spreadsheets/d/1XL5vhW3sbDhbH9Cz0tuDiY8C3ctxq1tqvaCgkFb8cCA/edit?usp=sharing"",""บุรีรัมย์!M284"")"),10770)</f>
        <v>10770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IFERROR(__xludf.DUMMYFUNCTION("IMPORTRANGE(""https://docs.google.com/spreadsheets/d/1XL5vhW3sbDhbH9Cz0tuDiY8C3ctxq1tqvaCgkFb8cCA/edit?usp=sharing"",""บุรีรัมย์!J295"")"),1)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IFERROR(__xludf.DUMMYFUNCTION("IMPORTRANGE(""https://docs.google.com/spreadsheets/d/1XL5vhW3sbDhbH9Cz0tuDiY8C3ctxq1tqvaCgkFb8cCA/edit?usp=sharing"",""บุรีรัมย์!M296"")"),178905)</f>
        <v>178905</v>
      </c>
      <c r="O401" s="373">
        <f ca="1">+IF(L401&gt;0,N401*100/L401,0)</f>
        <v>77.761116182031557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IFERROR(__xludf.DUMMYFUNCTION("IMPORTRANGE(""https://docs.google.com/spreadsheets/d/1XL5vhW3sbDhbH9Cz0tuDiY8C3ctxq1tqvaCgkFb8cCA/edit?usp=sharing"",""บุรีรัมย์!M299"")"),178905)</f>
        <v>178905</v>
      </c>
      <c r="O404" s="169">
        <f t="shared" ca="1" si="112"/>
        <v>77.761116182031557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IFERROR(__xludf.DUMMYFUNCTION("IMPORTRANGE(""https://docs.google.com/spreadsheets/d/1XL5vhW3sbDhbH9Cz0tuDiY8C3ctxq1tqvaCgkFb8cCA/edit?usp=sharing"",""บุรีรัมย์!M301"")"),178905)</f>
        <v>178905</v>
      </c>
      <c r="O406" s="169">
        <f t="shared" ca="1" si="112"/>
        <v>77.761116182031557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IFERROR(__xludf.DUMMYFUNCTION("IMPORTRANGE(""https://docs.google.com/spreadsheets/d/1XL5vhW3sbDhbH9Cz0tuDiY8C3ctxq1tqvaCgkFb8cCA/edit?usp=sharing"",""บุรีรัมย์!M302"")"),124895)</f>
        <v>124895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IFERROR(__xludf.DUMMYFUNCTION("IMPORTRANGE(""https://docs.google.com/spreadsheets/d/1XL5vhW3sbDhbH9Cz0tuDiY8C3ctxq1tqvaCgkFb8cCA/edit?usp=sharing"",""บุรีรัมย์!M305"")"),8510)</f>
        <v>8510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IFERROR(__xludf.DUMMYFUNCTION("IMPORTRANGE(""https://docs.google.com/spreadsheets/d/1XL5vhW3sbDhbH9Cz0tuDiY8C3ctxq1tqvaCgkFb8cCA/edit?usp=sharing"",""บุรีรัมย์!J329"")"),1)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IFERROR(__xludf.DUMMYFUNCTION("IMPORTRANGE(""https://docs.google.com/spreadsheets/d/1XL5vhW3sbDhbH9Cz0tuDiY8C3ctxq1tqvaCgkFb8cCA/edit?usp=sharing"",""บุรีรัมย์!M330"")"),68755.6)</f>
        <v>68755.600000000006</v>
      </c>
      <c r="O435" s="412">
        <f t="shared" ref="O435:O439" ca="1" si="114">+IF(L435&gt;0,N435*100/L435,0)</f>
        <v>58.267457627118652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IFERROR(__xludf.DUMMYFUNCTION("IMPORTRANGE(""https://docs.google.com/spreadsheets/d/1XL5vhW3sbDhbH9Cz0tuDiY8C3ctxq1tqvaCgkFb8cCA/edit?usp=sharing"",""บุรีรัมย์!M332"")"),68755.6)</f>
        <v>68755.600000000006</v>
      </c>
      <c r="O437" s="169">
        <f t="shared" ca="1" si="114"/>
        <v>58.267457627118652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IFERROR(__xludf.DUMMYFUNCTION("IMPORTRANGE(""https://docs.google.com/spreadsheets/d/1XL5vhW3sbDhbH9Cz0tuDiY8C3ctxq1tqvaCgkFb8cCA/edit?usp=sharing"",""บุรีรัมย์!M334"")"),68755.6)</f>
        <v>68755.600000000006</v>
      </c>
      <c r="O439" s="169">
        <f t="shared" ca="1" si="114"/>
        <v>58.267457627118652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IFERROR(__xludf.DUMMYFUNCTION("IMPORTRANGE(""https://docs.google.com/spreadsheets/d/1XL5vhW3sbDhbH9Cz0tuDiY8C3ctxq1tqvaCgkFb8cCA/edit?usp=sharing"",""บุรีรัมย์!M335"")"),64375.6)</f>
        <v>64375.6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IFERROR(__xludf.DUMMYFUNCTION("IMPORTRANGE(""https://docs.google.com/spreadsheets/d/1XL5vhW3sbDhbH9Cz0tuDiY8C3ctxq1tqvaCgkFb8cCA/edit?usp=sharing"",""บุรีรัมย์!M338"")"),4380)</f>
        <v>4380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IFERROR(__xludf.DUMMYFUNCTION("IMPORTRANGE(""https://docs.google.com/spreadsheets/d/1XL5vhW3sbDhbH9Cz0tuDiY8C3ctxq1tqvaCgkFb8cCA/edit?usp=sharing"",""บุรีรัมย์!J349"")"),1)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IFERROR(__xludf.DUMMYFUNCTION("IMPORTRANGE(""https://docs.google.com/spreadsheets/d/1XL5vhW3sbDhbH9Cz0tuDiY8C3ctxq1tqvaCgkFb8cCA/edit?usp=sharing"",""บุรีรัมย์!J350"")"),32922)</f>
        <v>32922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IFERROR(__xludf.DUMMYFUNCTION("IMPORTRANGE(""https://docs.google.com/spreadsheets/d/1XL5vhW3sbDhbH9Cz0tuDiY8C3ctxq1tqvaCgkFb8cCA/edit?usp=sharing"",""บุรีรัมย์!L350"")"),1348197)</f>
        <v>1348197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IFERROR(__xludf.DUMMYFUNCTION("IMPORTRANGE(""https://docs.google.com/spreadsheets/d/1XL5vhW3sbDhbH9Cz0tuDiY8C3ctxq1tqvaCgkFb8cCA/edit?usp=sharing"",""บุรีรัมย์!M350"")"),393177.99)</f>
        <v>393177.99</v>
      </c>
      <c r="O455" s="373">
        <f t="shared" ref="O455:O459" ca="1" si="116">+IF(L455&gt;0,N455*100/L455,0)</f>
        <v>29.163244689018001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IFERROR(__xludf.DUMMYFUNCTION("IMPORTRANGE(""https://docs.google.com/spreadsheets/d/1XL5vhW3sbDhbH9Cz0tuDiY8C3ctxq1tqvaCgkFb8cCA/edit?usp=sharing"",""บุรีรัมย์!L352"")"),1348197)</f>
        <v>1348197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IFERROR(__xludf.DUMMYFUNCTION("IMPORTRANGE(""https://docs.google.com/spreadsheets/d/1XL5vhW3sbDhbH9Cz0tuDiY8C3ctxq1tqvaCgkFb8cCA/edit?usp=sharing"",""บุรีรัมย์!M352"")"),393177.99)</f>
        <v>393177.99</v>
      </c>
      <c r="O457" s="169">
        <f t="shared" ca="1" si="116"/>
        <v>29.163244689018001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IFERROR(__xludf.DUMMYFUNCTION("IMPORTRANGE(""https://docs.google.com/spreadsheets/d/1XL5vhW3sbDhbH9Cz0tuDiY8C3ctxq1tqvaCgkFb8cCA/edit?usp=sharing"",""บุรีรัมย์!L354"")"),1348197)</f>
        <v>1348197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IFERROR(__xludf.DUMMYFUNCTION("IMPORTRANGE(""https://docs.google.com/spreadsheets/d/1XL5vhW3sbDhbH9Cz0tuDiY8C3ctxq1tqvaCgkFb8cCA/edit?usp=sharing"",""บุรีรัมย์!M354"")"),393177.99)</f>
        <v>393177.99</v>
      </c>
      <c r="O459" s="169">
        <f t="shared" ca="1" si="116"/>
        <v>29.163244689018001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IFERROR(__xludf.DUMMYFUNCTION("IMPORTRANGE(""https://docs.google.com/spreadsheets/d/1XL5vhW3sbDhbH9Cz0tuDiY8C3ctxq1tqvaCgkFb8cCA/edit?usp=sharing"",""บุรีรัมย์!M357"")"),97166.65)</f>
        <v>97166.65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IFERROR(__xludf.DUMMYFUNCTION("IMPORTRANGE(""https://docs.google.com/spreadsheets/d/1XL5vhW3sbDhbH9Cz0tuDiY8C3ctxq1tqvaCgkFb8cCA/edit?usp=sharing"",""บุรีรัมย์!M358"")"),296011.34)</f>
        <v>296011.34000000003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IFERROR(__xludf.DUMMYFUNCTION("IMPORTRANGE(""https://docs.google.com/spreadsheets/d/1XL5vhW3sbDhbH9Cz0tuDiY8C3ctxq1tqvaCgkFb8cCA/edit?usp=sharing"",""บุรีรัมย์!J359"")"),32922)</f>
        <v>32922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IFERROR(__xludf.DUMMYFUNCTION("IMPORTRANGE(""https://docs.google.com/spreadsheets/d/1XL5vhW3sbDhbH9Cz0tuDiY8C3ctxq1tqvaCgkFb8cCA/edit?usp=sharing"",""บุรีรัมย์!J376"")"),32922)</f>
        <v>32922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IFERROR(__xludf.DUMMYFUNCTION("IMPORTRANGE(""https://docs.google.com/spreadsheets/d/1XL5vhW3sbDhbH9Cz0tuDiY8C3ctxq1tqvaCgkFb8cCA/edit?usp=sharing"",""บุรีรัมย์!J377"")"),5104)</f>
        <v>5104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IFERROR(__xludf.DUMMYFUNCTION("IMPORTRANGE(""https://docs.google.com/spreadsheets/d/1XL5vhW3sbDhbH9Cz0tuDiY8C3ctxq1tqvaCgkFb8cCA/edit?usp=sharing"",""บุรีรัมย์!J392"")"),8358)</f>
        <v>8358</v>
      </c>
      <c r="K497" s="444">
        <f t="shared" ca="1" si="117"/>
        <v>28.333163836062241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IFERROR(__xludf.DUMMYFUNCTION("IMPORTRANGE(""https://docs.google.com/spreadsheets/d/1XL5vhW3sbDhbH9Cz0tuDiY8C3ctxq1tqvaCgkFb8cCA/edit?usp=sharing"",""บุรีรัมย์!J393"")"),8358)</f>
        <v>8358</v>
      </c>
      <c r="K498" s="202">
        <f t="shared" ca="1" si="117"/>
        <v>28.333163836062241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IFERROR(__xludf.DUMMYFUNCTION("IMPORTRANGE(""https://docs.google.com/spreadsheets/d/1XL5vhW3sbDhbH9Cz0tuDiY8C3ctxq1tqvaCgkFb8cCA/edit?usp=sharing"",""บุรีรัมย์!J394"")"),894)</f>
        <v>894</v>
      </c>
      <c r="K499" s="202">
        <f t="shared" ca="1" si="117"/>
        <v>29.632084852502487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IFERROR(__xludf.DUMMYFUNCTION("IMPORTRANGE(""https://docs.google.com/spreadsheets/d/1XL5vhW3sbDhbH9Cz0tuDiY8C3ctxq1tqvaCgkFb8cCA/edit?usp=sharing"",""บุรีรัมย์!J395"")"),7991)</f>
        <v>7991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IFERROR(__xludf.DUMMYFUNCTION("IMPORTRANGE(""https://docs.google.com/spreadsheets/d/1XL5vhW3sbDhbH9Cz0tuDiY8C3ctxq1tqvaCgkFb8cCA/edit?usp=sharing"",""บุรีรัมย์!J396"")"),856)</f>
        <v>856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IFERROR(__xludf.DUMMYFUNCTION("IMPORTRANGE(""https://docs.google.com/spreadsheets/d/1XL5vhW3sbDhbH9Cz0tuDiY8C3ctxq1tqvaCgkFb8cCA/edit?usp=sharing"",""บุรีรัมย์!J397"")"),7971)</f>
        <v>7971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IFERROR(__xludf.DUMMYFUNCTION("IMPORTRANGE(""https://docs.google.com/spreadsheets/d/1XL5vhW3sbDhbH9Cz0tuDiY8C3ctxq1tqvaCgkFb8cCA/edit?usp=sharing"",""บุรีรัมย์!J398"")"),851)</f>
        <v>851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IFERROR(__xludf.DUMMYFUNCTION("IMPORTRANGE(""https://docs.google.com/spreadsheets/d/1XL5vhW3sbDhbH9Cz0tuDiY8C3ctxq1tqvaCgkFb8cCA/edit?usp=sharing"",""บุรีรัมย์!J403"")"),367)</f>
        <v>367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IFERROR(__xludf.DUMMYFUNCTION("IMPORTRANGE(""https://docs.google.com/spreadsheets/d/1XL5vhW3sbDhbH9Cz0tuDiY8C3ctxq1tqvaCgkFb8cCA/edit?usp=sharing"",""บุรีรัมย์!J404"")"),38)</f>
        <v>38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IFERROR(__xludf.DUMMYFUNCTION("IMPORTRANGE(""https://docs.google.com/spreadsheets/d/1XL5vhW3sbDhbH9Cz0tuDiY8C3ctxq1tqvaCgkFb8cCA/edit?usp=sharing"",""บุรีรัมย์!J405"")"),367)</f>
        <v>367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IFERROR(__xludf.DUMMYFUNCTION("IMPORTRANGE(""https://docs.google.com/spreadsheets/d/1XL5vhW3sbDhbH9Cz0tuDiY8C3ctxq1tqvaCgkFb8cCA/edit?usp=sharing"",""บุรีรัมย์!J406"")"),38)</f>
        <v>38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IFERROR(__xludf.DUMMYFUNCTION("IMPORTRANGE(""https://docs.google.com/spreadsheets/d/1XL5vhW3sbDhbH9Cz0tuDiY8C3ctxq1tqvaCgkFb8cCA/edit?usp=sharing"",""บุรีรัมย์!I412"")"),0)</f>
        <v>0</v>
      </c>
      <c r="J517" s="285">
        <f ca="1">IFERROR(__xludf.DUMMYFUNCTION("IMPORTRANGE(""https://docs.google.com/spreadsheets/d/1XL5vhW3sbDhbH9Cz0tuDiY8C3ctxq1tqvaCgkFb8cCA/edit?usp=sharing"",""บุรีรัมย์!J412"")"),0)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IFERROR(__xludf.DUMMYFUNCTION("IMPORTRANGE(""https://docs.google.com/spreadsheets/d/1XL5vhW3sbDhbH9Cz0tuDiY8C3ctxq1tqvaCgkFb8cCA/edit?usp=sharing"",""บุรีรัมย์!I413"")"),0)</f>
        <v>0</v>
      </c>
      <c r="J518" s="285">
        <f ca="1">IFERROR(__xludf.DUMMYFUNCTION("IMPORTRANGE(""https://docs.google.com/spreadsheets/d/1XL5vhW3sbDhbH9Cz0tuDiY8C3ctxq1tqvaCgkFb8cCA/edit?usp=sharing"",""บุรีรัมย์!J413"")"),0)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IFERROR(__xludf.DUMMYFUNCTION("IMPORTRANGE(""https://docs.google.com/spreadsheets/d/1XL5vhW3sbDhbH9Cz0tuDiY8C3ctxq1tqvaCgkFb8cCA/edit?usp=sharing"",""บุรีรัมย์!I420"")"),18)</f>
        <v>18</v>
      </c>
      <c r="J525" s="285">
        <f ca="1">IFERROR(__xludf.DUMMYFUNCTION("IMPORTRANGE(""https://docs.google.com/spreadsheets/d/1XL5vhW3sbDhbH9Cz0tuDiY8C3ctxq1tqvaCgkFb8cCA/edit?usp=sharing"",""บุรีรัมย์!J420"")"),0)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IFERROR(__xludf.DUMMYFUNCTION("IMPORTRANGE(""https://docs.google.com/spreadsheets/d/1XL5vhW3sbDhbH9Cz0tuDiY8C3ctxq1tqvaCgkFb8cCA/edit?usp=sharing"",""บุรีรัมย์!I421"")"),8)</f>
        <v>8</v>
      </c>
      <c r="J526" s="285">
        <f ca="1">IFERROR(__xludf.DUMMYFUNCTION("IMPORTRANGE(""https://docs.google.com/spreadsheets/d/1XL5vhW3sbDhbH9Cz0tuDiY8C3ctxq1tqvaCgkFb8cCA/edit?usp=sharing"",""บุรีรัมย์!J421"")"),0)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IFERROR(__xludf.DUMMYFUNCTION("IMPORTRANGE(""https://docs.google.com/spreadsheets/d/1XL5vhW3sbDhbH9Cz0tuDiY8C3ctxq1tqvaCgkFb8cCA/edit?usp=sharing"",""บุรีรัมย์!M430"")"),20300)</f>
        <v>20300</v>
      </c>
      <c r="O535" s="169">
        <f t="shared" ca="1" si="118"/>
        <v>59.114735002912056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IFERROR(__xludf.DUMMYFUNCTION("IMPORTRANGE(""https://docs.google.com/spreadsheets/d/1XL5vhW3sbDhbH9Cz0tuDiY8C3ctxq1tqvaCgkFb8cCA/edit?usp=sharing"",""บุรีรัมย์!M432"")"),20300)</f>
        <v>20300</v>
      </c>
      <c r="O537" s="169">
        <f t="shared" ca="1" si="118"/>
        <v>59.114735002912056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IFERROR(__xludf.DUMMYFUNCTION("IMPORTRANGE(""https://docs.google.com/spreadsheets/d/1XL5vhW3sbDhbH9Cz0tuDiY8C3ctxq1tqvaCgkFb8cCA/edit?usp=sharing"",""บุรีรัมย์!M433"")"),17660)</f>
        <v>17660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IFERROR(__xludf.DUMMYFUNCTION("IMPORTRANGE(""https://docs.google.com/spreadsheets/d/1XL5vhW3sbDhbH9Cz0tuDiY8C3ctxq1tqvaCgkFb8cCA/edit?usp=sharing"",""บุรีรัมย์!M436"")"),2640)</f>
        <v>2640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IFERROR(__xludf.DUMMYFUNCTION("IMPORTRANGE(""https://docs.google.com/spreadsheets/d/1XL5vhW3sbDhbH9Cz0tuDiY8C3ctxq1tqvaCgkFb8cCA/edit?usp=sharing"",""บุรีรัมย์!J459"")"),15392)</f>
        <v>15392</v>
      </c>
      <c r="K564" s="372">
        <f ca="1">IF(I564&gt;0,J564*100/I564,0)</f>
        <v>314.12244897959181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IFERROR(__xludf.DUMMYFUNCTION("IMPORTRANGE(""https://docs.google.com/spreadsheets/d/1XL5vhW3sbDhbH9Cz0tuDiY8C3ctxq1tqvaCgkFb8cCA/edit?usp=sharing"",""บุรีรัมย์!M459"")"),107000.54)</f>
        <v>107000.54</v>
      </c>
      <c r="O564" s="373">
        <f t="shared" ref="O564:O568" ca="1" si="122">+IF(L564&gt;0,N564*100/L564,0)</f>
        <v>64.458156626506025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IFERROR(__xludf.DUMMYFUNCTION("IMPORTRANGE(""https://docs.google.com/spreadsheets/d/1XL5vhW3sbDhbH9Cz0tuDiY8C3ctxq1tqvaCgkFb8cCA/edit?usp=sharing"",""บุรีรัมย์!M461"")"),107000.54)</f>
        <v>107000.54</v>
      </c>
      <c r="O566" s="169">
        <f t="shared" ca="1" si="122"/>
        <v>64.458156626506025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IFERROR(__xludf.DUMMYFUNCTION("IMPORTRANGE(""https://docs.google.com/spreadsheets/d/1XL5vhW3sbDhbH9Cz0tuDiY8C3ctxq1tqvaCgkFb8cCA/edit?usp=sharing"",""บุรีรัมย์!M463"")"),107000.54)</f>
        <v>107000.54</v>
      </c>
      <c r="O568" s="169">
        <f t="shared" ca="1" si="122"/>
        <v>64.458156626506025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IFERROR(__xludf.DUMMYFUNCTION("IMPORTRANGE(""https://docs.google.com/spreadsheets/d/1XL5vhW3sbDhbH9Cz0tuDiY8C3ctxq1tqvaCgkFb8cCA/edit?usp=sharing"",""บุรีรัมย์!M466"")"),96066.54)</f>
        <v>96066.54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IFERROR(__xludf.DUMMYFUNCTION("IMPORTRANGE(""https://docs.google.com/spreadsheets/d/1XL5vhW3sbDhbH9Cz0tuDiY8C3ctxq1tqvaCgkFb8cCA/edit?usp=sharing"",""บุรีรัมย์!M467"")"),10934)</f>
        <v>10934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IFERROR(__xludf.DUMMYFUNCTION("IMPORTRANGE(""https://docs.google.com/spreadsheets/d/1XL5vhW3sbDhbH9Cz0tuDiY8C3ctxq1tqvaCgkFb8cCA/edit?usp=sharing"",""บุรีรัมย์!J468"")"),15392)</f>
        <v>15392</v>
      </c>
      <c r="K573" s="202">
        <f ca="1">IF(I573&gt;0,J573*100/I573,0)</f>
        <v>314.12244897959181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IFERROR(__xludf.DUMMYFUNCTION("IMPORTRANGE(""https://docs.google.com/spreadsheets/d/1XL5vhW3sbDhbH9Cz0tuDiY8C3ctxq1tqvaCgkFb8cCA/edit?usp=sharing"",""บุรีรัมย์!J472"")"),15270)</f>
        <v>15270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IFERROR(__xludf.DUMMYFUNCTION("IMPORTRANGE(""https://docs.google.com/spreadsheets/d/1XL5vhW3sbDhbH9Cz0tuDiY8C3ctxq1tqvaCgkFb8cCA/edit?usp=sharing"",""บุรีรัมย์!L475"")"),214040)</f>
        <v>214040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IFERROR(__xludf.DUMMYFUNCTION("IMPORTRANGE(""https://docs.google.com/spreadsheets/d/1XL5vhW3sbDhbH9Cz0tuDiY8C3ctxq1tqvaCgkFb8cCA/edit?usp=sharing"",""บุรีรัมย์!M475"")"),20939)</f>
        <v>20939</v>
      </c>
      <c r="O580" s="373">
        <f t="shared" ref="O580:O584" ca="1" si="124">+IF(L580&gt;0,N580*100/L580,0)</f>
        <v>9.7827508876845446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IFERROR(__xludf.DUMMYFUNCTION("IMPORTRANGE(""https://docs.google.com/spreadsheets/d/1XL5vhW3sbDhbH9Cz0tuDiY8C3ctxq1tqvaCgkFb8cCA/edit?usp=sharing"",""บุรีรัมย์!L477"")"),214040)</f>
        <v>214040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IFERROR(__xludf.DUMMYFUNCTION("IMPORTRANGE(""https://docs.google.com/spreadsheets/d/1XL5vhW3sbDhbH9Cz0tuDiY8C3ctxq1tqvaCgkFb8cCA/edit?usp=sharing"",""บุรีรัมย์!M477"")"),20939)</f>
        <v>20939</v>
      </c>
      <c r="O582" s="169">
        <f t="shared" ca="1" si="124"/>
        <v>9.7827508876845446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IFERROR(__xludf.DUMMYFUNCTION("IMPORTRANGE(""https://docs.google.com/spreadsheets/d/1XL5vhW3sbDhbH9Cz0tuDiY8C3ctxq1tqvaCgkFb8cCA/edit?usp=sharing"",""บุรีรัมย์!L479"")"),214040)</f>
        <v>214040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IFERROR(__xludf.DUMMYFUNCTION("IMPORTRANGE(""https://docs.google.com/spreadsheets/d/1XL5vhW3sbDhbH9Cz0tuDiY8C3ctxq1tqvaCgkFb8cCA/edit?usp=sharing"",""บุรีรัมย์!M479"")"),20939)</f>
        <v>20939</v>
      </c>
      <c r="O584" s="169">
        <f t="shared" ca="1" si="124"/>
        <v>9.7827508876845446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IFERROR(__xludf.DUMMYFUNCTION("IMPORTRANGE(""https://docs.google.com/spreadsheets/d/1XL5vhW3sbDhbH9Cz0tuDiY8C3ctxq1tqvaCgkFb8cCA/edit?usp=sharing"",""บุรีรัมย์!M483"")"),20939)</f>
        <v>20939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IFERROR(__xludf.DUMMYFUNCTION("IMPORTRANGE(""https://docs.google.com/spreadsheets/d/1XL5vhW3sbDhbH9Cz0tuDiY8C3ctxq1tqvaCgkFb8cCA/edit?usp=sharing"",""บุรีรัมย์!J484"")"),57)</f>
        <v>57</v>
      </c>
      <c r="K589" s="163">
        <f t="shared" ref="K589:K596" ca="1" si="125">IF(I589&gt;0,J589*100/I589,0)</f>
        <v>142.5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IFERROR(__xludf.DUMMYFUNCTION("IMPORTRANGE(""https://docs.google.com/spreadsheets/d/1XL5vhW3sbDhbH9Cz0tuDiY8C3ctxq1tqvaCgkFb8cCA/edit?usp=sharing"",""บุรีรัมย์!J485"")"),25.82)</f>
        <v>25.82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IFERROR(__xludf.DUMMYFUNCTION("IMPORTRANGE(""https://docs.google.com/spreadsheets/d/1XL5vhW3sbDhbH9Cz0tuDiY8C3ctxq1tqvaCgkFb8cCA/edit?usp=sharing"",""บุรีรัมย์!J486"")"),41)</f>
        <v>41</v>
      </c>
      <c r="K591" s="163">
        <f t="shared" ca="1" si="125"/>
        <v>102.5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IFERROR(__xludf.DUMMYFUNCTION("IMPORTRANGE(""https://docs.google.com/spreadsheets/d/1XL5vhW3sbDhbH9Cz0tuDiY8C3ctxq1tqvaCgkFb8cCA/edit?usp=sharing"",""บุรีรัมย์!J487"")"),23.94)</f>
        <v>23.94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8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IFERROR(__xludf.DUMMYFUNCTION("IMPORTRANGE(""https://docs.google.com/spreadsheets/d/1XL5vhW3sbDhbH9Cz0tuDiY8C3ctxq1tqvaCgkFb8cCA/edit?usp=sharing"",""บุรีรัมย์!L494"")"),7300)</f>
        <v>7300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IFERROR(__xludf.DUMMYFUNCTION("IMPORTRANGE(""https://docs.google.com/spreadsheets/d/1XL5vhW3sbDhbH9Cz0tuDiY8C3ctxq1tqvaCgkFb8cCA/edit?usp=sharing"",""บุรีรัมย์!L496"")"),7300)</f>
        <v>7300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IFERROR(__xludf.DUMMYFUNCTION("IMPORTRANGE(""https://docs.google.com/spreadsheets/d/1XL5vhW3sbDhbH9Cz0tuDiY8C3ctxq1tqvaCgkFb8cCA/edit?usp=sharing"",""บุรีรัมย์!J166"")"),0)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IFERROR(__xludf.DUMMYFUNCTION("IMPORTRANGE(""https://docs.google.com/spreadsheets/d/1XL5vhW3sbDhbH9Cz0tuDiY8C3ctxq1tqvaCgkFb8cCA/edit?usp=sharing"",""บุรีรัมย์!J166"")"),0)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IFERROR(__xludf.DUMMYFUNCTION("IMPORTRANGE(""https://docs.google.com/spreadsheets/d/1XL5vhW3sbDhbH9Cz0tuDiY8C3ctxq1tqvaCgkFb8cCA/edit?usp=sharing"",""บุรีรัมย์!J507"")"),95)</f>
        <v>95</v>
      </c>
      <c r="K612" s="163">
        <f t="shared" ca="1" si="127"/>
        <v>95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IFERROR(__xludf.DUMMYFUNCTION("IMPORTRANGE(""https://docs.google.com/spreadsheets/d/1XL5vhW3sbDhbH9Cz0tuDiY8C3ctxq1tqvaCgkFb8cCA/edit?usp=sharing"",""บุรีรัมย์!J508"")"),95)</f>
        <v>95</v>
      </c>
      <c r="K613" s="163">
        <f t="shared" ca="1" si="127"/>
        <v>95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IFERROR(__xludf.DUMMYFUNCTION("IMPORTRANGE(""https://docs.google.com/spreadsheets/d/1XL5vhW3sbDhbH9Cz0tuDiY8C3ctxq1tqvaCgkFb8cCA/edit?usp=sharing"",""บุรีรัมย์!J509"")"),95)</f>
        <v>95</v>
      </c>
      <c r="K614" s="163">
        <f t="shared" ca="1" si="127"/>
        <v>95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IFERROR(__xludf.DUMMYFUNCTION("IMPORTRANGE(""https://docs.google.com/spreadsheets/d/1XL5vhW3sbDhbH9Cz0tuDiY8C3ctxq1tqvaCgkFb8cCA/edit?usp=sharing"",""บุรีรัมย์!J510"")"),95)</f>
        <v>95</v>
      </c>
      <c r="K615" s="163">
        <f t="shared" ca="1" si="127"/>
        <v>95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2">
        <f ca="1">IFERROR(__xludf.DUMMYFUNCTION("IMPORTRANGE(""https://docs.google.com/spreadsheets/d/1XL5vhW3sbDhbH9Cz0tuDiY8C3ctxq1tqvaCgkFb8cCA/edit?usp=sharing"",""บุรีรัมย์!J523"")"),1531863.32)</f>
        <v>1531863.32</v>
      </c>
      <c r="K628" s="343">
        <f t="shared" ref="K628:K635" ca="1" si="129">IF(I628&gt;0,J628*100/I628,0)</f>
        <v>53.234174654990056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IFERROR(__xludf.DUMMYFUNCTION("IMPORTRANGE(""https://docs.google.com/spreadsheets/d/1XL5vhW3sbDhbH9Cz0tuDiY8C3ctxq1tqvaCgkFb8cCA/edit?usp=sharing"",""บุรีรัมย์!I524"")"),259)</f>
        <v>259</v>
      </c>
      <c r="J629" s="342">
        <f ca="1">IFERROR(__xludf.DUMMYFUNCTION("IMPORTRANGE(""https://docs.google.com/spreadsheets/d/1XL5vhW3sbDhbH9Cz0tuDiY8C3ctxq1tqvaCgkFb8cCA/edit?usp=sharing"",""บุรีรัมย์!J524"")"),126)</f>
        <v>126</v>
      </c>
      <c r="K629" s="343">
        <f t="shared" ca="1" si="129"/>
        <v>48.648648648648646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2">
        <f ca="1">IFERROR(__xludf.DUMMYFUNCTION("IMPORTRANGE(""https://docs.google.com/spreadsheets/d/1XL5vhW3sbDhbH9Cz0tuDiY8C3ctxq1tqvaCgkFb8cCA/edit?usp=sharing"",""บุรีรัมย์!J525"")"),2644961.05)</f>
        <v>2644961.0499999998</v>
      </c>
      <c r="K630" s="343">
        <f t="shared" ca="1" si="129"/>
        <v>48.970200124270605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IFERROR(__xludf.DUMMYFUNCTION("IMPORTRANGE(""https://docs.google.com/spreadsheets/d/1XL5vhW3sbDhbH9Cz0tuDiY8C3ctxq1tqvaCgkFb8cCA/edit?usp=sharing"",""บุรีรัมย์!I526"")"),250)</f>
        <v>250</v>
      </c>
      <c r="J631" s="342">
        <f ca="1">IFERROR(__xludf.DUMMYFUNCTION("IMPORTRANGE(""https://docs.google.com/spreadsheets/d/1XL5vhW3sbDhbH9Cz0tuDiY8C3ctxq1tqvaCgkFb8cCA/edit?usp=sharing"",""บุรีรัมย์!J526"")"),185)</f>
        <v>185</v>
      </c>
      <c r="K631" s="343">
        <f t="shared" ca="1" si="129"/>
        <v>74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2">
        <f ca="1">IFERROR(__xludf.DUMMYFUNCTION("IMPORTRANGE(""https://docs.google.com/spreadsheets/d/1XL5vhW3sbDhbH9Cz0tuDiY8C3ctxq1tqvaCgkFb8cCA/edit?usp=sharing"",""บุรีรัมย์!J527"")"),1110794.39)</f>
        <v>1110794.3899999999</v>
      </c>
      <c r="K632" s="343">
        <f t="shared" ca="1" si="129"/>
        <v>37.720824870314395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IFERROR(__xludf.DUMMYFUNCTION("IMPORTRANGE(""https://docs.google.com/spreadsheets/d/1XL5vhW3sbDhbH9Cz0tuDiY8C3ctxq1tqvaCgkFb8cCA/edit?usp=sharing"",""บุรีรัมย์!I528"")"),233)</f>
        <v>233</v>
      </c>
      <c r="J633" s="342">
        <f ca="1">IFERROR(__xludf.DUMMYFUNCTION("IMPORTRANGE(""https://docs.google.com/spreadsheets/d/1XL5vhW3sbDhbH9Cz0tuDiY8C3ctxq1tqvaCgkFb8cCA/edit?usp=sharing"",""บุรีรัมย์!J528"")"),251)</f>
        <v>251</v>
      </c>
      <c r="K633" s="343">
        <f t="shared" ca="1" si="129"/>
        <v>107.72532188841201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IFERROR(__xludf.DUMMYFUNCTION("IMPORTRANGE(""https://docs.google.com/spreadsheets/d/1XL5vhW3sbDhbH9Cz0tuDiY8C3ctxq1tqvaCgkFb8cCA/edit?usp=sharing"",""บุรีรัมย์!I529"")"),3000000)</f>
        <v>3000000</v>
      </c>
      <c r="J634" s="342">
        <f ca="1">IFERROR(__xludf.DUMMYFUNCTION("IMPORTRANGE(""https://docs.google.com/spreadsheets/d/1XL5vhW3sbDhbH9Cz0tuDiY8C3ctxq1tqvaCgkFb8cCA/edit?usp=sharing"",""บุรีรัมย์!J529"")"),3000000)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IFERROR(__xludf.DUMMYFUNCTION("IMPORTRANGE(""https://docs.google.com/spreadsheets/d/1XL5vhW3sbDhbH9Cz0tuDiY8C3ctxq1tqvaCgkFb8cCA/edit?usp=sharing"",""บุรีรัมย์!I530"")"),85)</f>
        <v>85</v>
      </c>
      <c r="J635" s="505">
        <f ca="1">IFERROR(__xludf.DUMMYFUNCTION("IMPORTRANGE(""https://docs.google.com/spreadsheets/d/1XL5vhW3sbDhbH9Cz0tuDiY8C3ctxq1tqvaCgkFb8cCA/edit?usp=sharing"",""บุรีรัมย์!J530"")"),105)</f>
        <v>105</v>
      </c>
      <c r="K635" s="487">
        <f t="shared" ca="1" si="129"/>
        <v>123.52941176470588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3635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3635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3635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IFERROR(__xludf.DUMMYFUNCTION("IMPORTRANGE(""https://docs.google.com/spreadsheets/d/1XL5vhW3sbDhbH9Cz0tuDiY8C3ctxq1tqvaCgkFb8cCA/edit#gid=346597447"",""บุรีรัมย์!J541"")"),0)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IFERROR(__xludf.DUMMYFUNCTION("IMPORTRANGE(""https://docs.google.com/spreadsheets/d/1XL5vhW3sbDhbH9Cz0tuDiY8C3ctxq1tqvaCgkFb8cCA/edit#gid=346597447"",""บุรีรัมย์!J542"")"),0)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IFERROR(__xludf.DUMMYFUNCTION("IMPORTRANGE(""https://docs.google.com/spreadsheets/d/1XL5vhW3sbDhbH9Cz0tuDiY8C3ctxq1tqvaCgkFb8cCA/edit#gid=346597447"",""บุรีรัมย์!I543"")"),0)</f>
        <v>0</v>
      </c>
      <c r="J648" s="586">
        <f ca="1">IFERROR(__xludf.DUMMYFUNCTION("IMPORTRANGE(""https://docs.google.com/spreadsheets/d/1XL5vhW3sbDhbH9Cz0tuDiY8C3ctxq1tqvaCgkFb8cCA/edit#gid=346597447"",""บุรีรัมย์!J543"")"),0)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IFERROR(__xludf.DUMMYFUNCTION("IMPORTRANGE(""https://docs.google.com/spreadsheets/d/1XL5vhW3sbDhbH9Cz0tuDiY8C3ctxq1tqvaCgkFb8cCA/edit#gid=346597447"",""บุรีรัมย์!L543"")"),0)</f>
        <v>0</v>
      </c>
      <c r="M648" s="571"/>
      <c r="N648" s="588">
        <f ca="1">IFERROR(__xludf.DUMMYFUNCTION("IMPORTRANGE(""https://docs.google.com/spreadsheets/d/1XL5vhW3sbDhbH9Cz0tuDiY8C3ctxq1tqvaCgkFb8cCA/edit#gid=346597447"",""บุรีรัมย์!M543"")"),0)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IFERROR(__xludf.DUMMYFUNCTION("IMPORTRANGE(""https://docs.google.com/spreadsheets/d/1XL5vhW3sbDhbH9Cz0tuDiY8C3ctxq1tqvaCgkFb8cCA/edit#gid=346597447"",""บุรีรัมย์!I544"")"),1)</f>
        <v>1</v>
      </c>
      <c r="J649" s="586">
        <f ca="1">IFERROR(__xludf.DUMMYFUNCTION("IMPORTRANGE(""https://docs.google.com/spreadsheets/d/1XL5vhW3sbDhbH9Cz0tuDiY8C3ctxq1tqvaCgkFb8cCA/edit#gid=346597447"",""บุรีรัมย์!J544"")"),0)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IFERROR(__xludf.DUMMYFUNCTION("IMPORTRANGE(""https://docs.google.com/spreadsheets/d/1XL5vhW3sbDhbH9Cz0tuDiY8C3ctxq1tqvaCgkFb8cCA/edit#gid=346597447"",""บุรีรัมย์!L544"")"),120)</f>
        <v>120</v>
      </c>
      <c r="M649" s="571"/>
      <c r="N649" s="588">
        <f ca="1">IFERROR(__xludf.DUMMYFUNCTION("IMPORTRANGE(""https://docs.google.com/spreadsheets/d/1XL5vhW3sbDhbH9Cz0tuDiY8C3ctxq1tqvaCgkFb8cCA/edit#gid=346597447"",""บุรีรัมย์!M544"")"),0)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IFERROR(__xludf.DUMMYFUNCTION("IMPORTRANGE(""https://docs.google.com/spreadsheets/d/1XL5vhW3sbDhbH9Cz0tuDiY8C3ctxq1tqvaCgkFb8cCA/edit#gid=346597447"",""บุรีรัมย์!I545"")"),10)</f>
        <v>10</v>
      </c>
      <c r="J650" s="586">
        <f ca="1">IFERROR(__xludf.DUMMYFUNCTION("IMPORTRANGE(""https://docs.google.com/spreadsheets/d/1XL5vhW3sbDhbH9Cz0tuDiY8C3ctxq1tqvaCgkFb8cCA/edit#gid=346597447"",""บุรีรัมย์!J545"")"),0)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IFERROR(__xludf.DUMMYFUNCTION("IMPORTRANGE(""https://docs.google.com/spreadsheets/d/1XL5vhW3sbDhbH9Cz0tuDiY8C3ctxq1tqvaCgkFb8cCA/edit#gid=346597447"",""บุรีรัมย์!L545"")"),50)</f>
        <v>50</v>
      </c>
      <c r="M650" s="571"/>
      <c r="N650" s="588">
        <f ca="1">IFERROR(__xludf.DUMMYFUNCTION("IMPORTRANGE(""https://docs.google.com/spreadsheets/d/1XL5vhW3sbDhbH9Cz0tuDiY8C3ctxq1tqvaCgkFb8cCA/edit#gid=346597447"",""บุรีรัมย์!M545"")"),0)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IFERROR(__xludf.DUMMYFUNCTION("IMPORTRANGE(""https://docs.google.com/spreadsheets/d/1XL5vhW3sbDhbH9Cz0tuDiY8C3ctxq1tqvaCgkFb8cCA/edit#gid=346597447"",""บุรีรัมย์!I546"")"),129)</f>
        <v>129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IFERROR(__xludf.DUMMYFUNCTION("IMPORTRANGE(""https://docs.google.com/spreadsheets/d/1XL5vhW3sbDhbH9Cz0tuDiY8C3ctxq1tqvaCgkFb8cCA/edit#gid=346597447"",""บุรีรัมย์!L546"")"),3225)</f>
        <v>3225</v>
      </c>
      <c r="M651" s="571"/>
      <c r="N651" s="588">
        <f ca="1">IFERROR(__xludf.DUMMYFUNCTION("IMPORTRANGE(""https://docs.google.com/spreadsheets/d/1XL5vhW3sbDhbH9Cz0tuDiY8C3ctxq1tqvaCgkFb8cCA/edit#gid=346597447"",""บุรีรัมย์!M546"")"),0)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IFERROR(__xludf.DUMMYFUNCTION("IMPORTRANGE(""https://docs.google.com/spreadsheets/d/1XL5vhW3sbDhbH9Cz0tuDiY8C3ctxq1tqvaCgkFb8cCA/edit#gid=346597447"",""บุรีรัมย์!J547"")"),0)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IFERROR(__xludf.DUMMYFUNCTION("IMPORTRANGE(""https://docs.google.com/spreadsheets/d/1XL5vhW3sbDhbH9Cz0tuDiY8C3ctxq1tqvaCgkFb8cCA/edit#gid=346597447"",""บุรีรัมย์!J548"")"),0)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IFERROR(__xludf.DUMMYFUNCTION("IMPORTRANGE(""https://docs.google.com/spreadsheets/d/1XL5vhW3sbDhbH9Cz0tuDiY8C3ctxq1tqvaCgkFb8cCA/edit#gid=346597447"",""บุรีรัมย์!J550"")"),0)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IFERROR(__xludf.DUMMYFUNCTION("IMPORTRANGE(""https://docs.google.com/spreadsheets/d/1XL5vhW3sbDhbH9Cz0tuDiY8C3ctxq1tqvaCgkFb8cCA/edit#gid=346597447"",""บุรีรัมย์!J551"")"),0)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IFERROR(__xludf.DUMMYFUNCTION("IMPORTRANGE(""https://docs.google.com/spreadsheets/d/1XL5vhW3sbDhbH9Cz0tuDiY8C3ctxq1tqvaCgkFb8cCA/edit#gid=346597447"",""บุรีรัมย์!J552"")"),0)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IFERROR(__xludf.DUMMYFUNCTION("IMPORTRANGE(""https://docs.google.com/spreadsheets/d/1XL5vhW3sbDhbH9Cz0tuDiY8C3ctxq1tqvaCgkFb8cCA/edit#gid=346597447"",""บุรีรัมย์!J553"")"),0)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IFERROR(__xludf.DUMMYFUNCTION("IMPORTRANGE(""https://docs.google.com/spreadsheets/d/1XL5vhW3sbDhbH9Cz0tuDiY8C3ctxq1tqvaCgkFb8cCA/edit#gid=346597447"",""บุรีรัมย์!J554"")"),0)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IFERROR(__xludf.DUMMYFUNCTION("IMPORTRANGE(""https://docs.google.com/spreadsheets/d/1XL5vhW3sbDhbH9Cz0tuDiY8C3ctxq1tqvaCgkFb8cCA/edit#gid=346597447"",""บุรีรัมย์!J555"")"),0)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IFERROR(__xludf.DUMMYFUNCTION("IMPORTRANGE(""https://docs.google.com/spreadsheets/d/1XL5vhW3sbDhbH9Cz0tuDiY8C3ctxq1tqvaCgkFb8cCA/edit#gid=346597447"",""บุรีรัมย์!J556"")"),0)</f>
        <v>0</v>
      </c>
      <c r="K661" s="587"/>
      <c r="L661" s="572">
        <f ca="1">IFERROR(__xludf.DUMMYFUNCTION("IMPORTRANGE(""https://docs.google.com/spreadsheets/d/1XL5vhW3sbDhbH9Cz0tuDiY8C3ctxq1tqvaCgkFb8cCA/edit#gid=346597447"",""บุรีรัมย์!L556"")"),0)</f>
        <v>0</v>
      </c>
      <c r="M661" s="571"/>
      <c r="N661" s="588">
        <f ca="1">IFERROR(__xludf.DUMMYFUNCTION("IMPORTRANGE(""https://docs.google.com/spreadsheets/d/1XL5vhW3sbDhbH9Cz0tuDiY8C3ctxq1tqvaCgkFb8cCA/edit#gid=346597447"",""บุรีรัมย์!M556"")"),0)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IFERROR(__xludf.DUMMYFUNCTION("IMPORTRANGE(""https://docs.google.com/spreadsheets/d/1XL5vhW3sbDhbH9Cz0tuDiY8C3ctxq1tqvaCgkFb8cCA/edit#gid=346597447"",""บุรีรัมย์!J557"")"),0)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IFERROR(__xludf.DUMMYFUNCTION("IMPORTRANGE(""https://docs.google.com/spreadsheets/d/1XL5vhW3sbDhbH9Cz0tuDiY8C3ctxq1tqvaCgkFb8cCA/edit#gid=346597447"",""บุรีรัมย์!I558"")"),0)</f>
        <v>0</v>
      </c>
      <c r="J663" s="586">
        <f ca="1">IFERROR(__xludf.DUMMYFUNCTION("IMPORTRANGE(""https://docs.google.com/spreadsheets/d/1XL5vhW3sbDhbH9Cz0tuDiY8C3ctxq1tqvaCgkFb8cCA/edit#gid=346597447"",""บุรีรัมย์!J558"")"),0)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IFERROR(__xludf.DUMMYFUNCTION("IMPORTRANGE(""https://docs.google.com/spreadsheets/d/1XL5vhW3sbDhbH9Cz0tuDiY8C3ctxq1tqvaCgkFb8cCA/edit#gid=346597447"",""บุรีรัมย์!I560"")"),2)</f>
        <v>2</v>
      </c>
      <c r="J665" s="586">
        <f ca="1">IFERROR(__xludf.DUMMYFUNCTION("IMPORTRANGE(""https://docs.google.com/spreadsheets/d/1XL5vhW3sbDhbH9Cz0tuDiY8C3ctxq1tqvaCgkFb8cCA/edit#gid=346597447"",""บุรีรัมย์!J560"")"),0)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IFERROR(__xludf.DUMMYFUNCTION("IMPORTRANGE(""https://docs.google.com/spreadsheets/d/1XL5vhW3sbDhbH9Cz0tuDiY8C3ctxq1tqvaCgkFb8cCA/edit#gid=346597447"",""บุรีรัมย์!L560"")"),240)</f>
        <v>240</v>
      </c>
      <c r="M665" s="571"/>
      <c r="N665" s="588">
        <f ca="1">IFERROR(__xludf.DUMMYFUNCTION("IMPORTRANGE(""https://docs.google.com/spreadsheets/d/1XL5vhW3sbDhbH9Cz0tuDiY8C3ctxq1tqvaCgkFb8cCA/edit#gid=346597447"",""บุรีรัมย์!M560"")"),0)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IFERROR(__xludf.DUMMYFUNCTION("IMPORTRANGE(""https://docs.google.com/spreadsheets/d/1XL5vhW3sbDhbH9Cz0tuDiY8C3ctxq1tqvaCgkFb8cCA/edit#gid=346597447"",""บุรีรัมย์!J561"")"),0)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IFERROR(__xludf.DUMMYFUNCTION("IMPORTRANGE(""https://docs.google.com/spreadsheets/d/1XL5vhW3sbDhbH9Cz0tuDiY8C3ctxq1tqvaCgkFb8cCA/edit#gid=346597447"",""บุรีรัมย์!J562"")"),0)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IFERROR(__xludf.DUMMYFUNCTION("IMPORTRANGE(""https://docs.google.com/spreadsheets/d/1XL5vhW3sbDhbH9Cz0tuDiY8C3ctxq1tqvaCgkFb8cCA/edit#gid=346597447"",""บุรีรัมย์!I563"")"),0)</f>
        <v>0</v>
      </c>
      <c r="J668" s="586">
        <f ca="1">IFERROR(__xludf.DUMMYFUNCTION("IMPORTRANGE(""https://docs.google.com/spreadsheets/d/1XL5vhW3sbDhbH9Cz0tuDiY8C3ctxq1tqvaCgkFb8cCA/edit#gid=346597447"",""บุรีรัมย์!J563"")"),0)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IFERROR(__xludf.DUMMYFUNCTION("IMPORTRANGE(""https://docs.google.com/spreadsheets/d/1XL5vhW3sbDhbH9Cz0tuDiY8C3ctxq1tqvaCgkFb8cCA/edit#gid=346597447"",""บุรีรัมย์!L563"")"),0)</f>
        <v>0</v>
      </c>
      <c r="M668" s="571"/>
      <c r="N668" s="588">
        <f ca="1">IFERROR(__xludf.DUMMYFUNCTION("IMPORTRANGE(""https://docs.google.com/spreadsheets/d/1XL5vhW3sbDhbH9Cz0tuDiY8C3ctxq1tqvaCgkFb8cCA/edit#gid=346597447"",""บุรีรัมย์!M563"")"),0)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IFERROR(__xludf.DUMMYFUNCTION("IMPORTRANGE(""https://docs.google.com/spreadsheets/d/1XL5vhW3sbDhbH9Cz0tuDiY8C3ctxq1tqvaCgkFb8cCA/edit#gid=346597447"",""บุรีรัมย์!J564"")"),0)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IFERROR(__xludf.DUMMYFUNCTION("IMPORTRANGE(""https://docs.google.com/spreadsheets/d/1XL5vhW3sbDhbH9Cz0tuDiY8C3ctxq1tqvaCgkFb8cCA/edit#gid=346597447"",""บุรีรัมย์!J565"")"),0)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IFERROR(__xludf.DUMMYFUNCTION("IMPORTRANGE(""https://docs.google.com/spreadsheets/d/1XL5vhW3sbDhbH9Cz0tuDiY8C3ctxq1tqvaCgkFb8cCA/edit#gid=346597447"",""บุรีรัมย์!I566"")"),0)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IFERROR(__xludf.DUMMYFUNCTION("IMPORTRANGE(""https://docs.google.com/spreadsheets/d/1XL5vhW3sbDhbH9Cz0tuDiY8C3ctxq1tqvaCgkFb8cCA/edit#gid=346597447"",""บุรีรัมย์!L566"")"),0)</f>
        <v>0</v>
      </c>
      <c r="M671" s="571"/>
      <c r="N671" s="588">
        <f ca="1">IFERROR(__xludf.DUMMYFUNCTION("IMPORTRANGE(""https://docs.google.com/spreadsheets/d/1XL5vhW3sbDhbH9Cz0tuDiY8C3ctxq1tqvaCgkFb8cCA/edit#gid=346597447"",""บุรีรัมย์!M566"")"),0)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IFERROR(__xludf.DUMMYFUNCTION("IMPORTRANGE(""https://docs.google.com/spreadsheets/d/1XL5vhW3sbDhbH9Cz0tuDiY8C3ctxq1tqvaCgkFb8cCA/edit#gid=346597447"",""บุรีรัมย์!J567"")"),0)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IFERROR(__xludf.DUMMYFUNCTION("IMPORTRANGE(""https://docs.google.com/spreadsheets/d/1XL5vhW3sbDhbH9Cz0tuDiY8C3ctxq1tqvaCgkFb8cCA/edit#gid=346597447"",""บุรีรัมย์!J568"")"),0)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IFERROR(__xludf.DUMMYFUNCTION("IMPORTRANGE(""https://docs.google.com/spreadsheets/d/1XL5vhW3sbDhbH9Cz0tuDiY8C3ctxq1tqvaCgkFb8cCA/edit#gid=346597447"",""บุรีรัมย์!J569"")"),0)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IFERROR(__xludf.DUMMYFUNCTION("IMPORTRANGE(""https://docs.google.com/spreadsheets/d/1XL5vhW3sbDhbH9Cz0tuDiY8C3ctxq1tqvaCgkFb8cCA/edit#gid=346597447"",""บุรีรัมย์!J570"")"),0)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IFERROR(__xludf.DUMMYFUNCTION("IMPORTRANGE(""https://docs.google.com/spreadsheets/d/1XL5vhW3sbDhbH9Cz0tuDiY8C3ctxq1tqvaCgkFb8cCA/edit#gid=346597447"",""บุรีรัมย์!J571"")"),0)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IFERROR(__xludf.DUMMYFUNCTION("IMPORTRANGE(""https://docs.google.com/spreadsheets/d/1XL5vhW3sbDhbH9Cz0tuDiY8C3ctxq1tqvaCgkFb8cCA/edit#gid=346597447"",""บุรีรัมย์!J572"")"),0)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5684162</v>
      </c>
      <c r="M8" s="23">
        <f t="shared" ca="1" si="0"/>
        <v>3532702</v>
      </c>
      <c r="N8" s="23">
        <f t="shared" ca="1" si="0"/>
        <v>4167785.19</v>
      </c>
      <c r="O8" s="22">
        <f t="shared" ref="O8:O16" ca="1" si="1">IF(L8&gt;0,N8*100/L8,0)</f>
        <v>73.322772820338344</v>
      </c>
      <c r="P8" s="22">
        <f t="shared" ref="P8:P16" ca="1" si="2">IF(M8&gt;0,N8*100/M8,0)</f>
        <v>117.97726471126067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5684162</v>
      </c>
      <c r="M10" s="30">
        <f t="shared" ca="1" si="4"/>
        <v>3532702</v>
      </c>
      <c r="N10" s="30">
        <f t="shared" ca="1" si="4"/>
        <v>4167785.19</v>
      </c>
      <c r="O10" s="29">
        <f t="shared" ca="1" si="1"/>
        <v>73.322772820338344</v>
      </c>
      <c r="P10" s="29">
        <f t="shared" ca="1" si="2"/>
        <v>117.97726471126067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5546762</v>
      </c>
      <c r="M12" s="38">
        <f t="shared" ca="1" si="6"/>
        <v>3395302</v>
      </c>
      <c r="N12" s="38">
        <f t="shared" ca="1" si="6"/>
        <v>4030385.19</v>
      </c>
      <c r="O12" s="38">
        <f t="shared" ca="1" si="1"/>
        <v>72.661945654059068</v>
      </c>
      <c r="P12" s="38">
        <f t="shared" ca="1" si="2"/>
        <v>118.70476293419554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3771262</v>
      </c>
      <c r="M14" s="38">
        <f t="shared" si="8"/>
        <v>0</v>
      </c>
      <c r="N14" s="38">
        <f t="shared" ca="1" si="8"/>
        <v>1224723.27</v>
      </c>
      <c r="O14" s="38">
        <f t="shared" ca="1" si="1"/>
        <v>32.475157387633104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3297705</v>
      </c>
      <c r="M18" s="23">
        <f t="shared" ca="1" si="11"/>
        <v>3532702</v>
      </c>
      <c r="N18" s="23">
        <f t="shared" ca="1" si="11"/>
        <v>2943061.92</v>
      </c>
      <c r="O18" s="22">
        <f t="shared" ref="O18:O20" ca="1" si="12">IF(L18&gt;0,N18*100/L18,0)</f>
        <v>89.245760915545816</v>
      </c>
      <c r="P18" s="22">
        <f t="shared" ref="P18:P26" ca="1" si="13">IF(M18&gt;0,N18*100/M18,0)</f>
        <v>83.309090888504045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3297705</v>
      </c>
      <c r="M20" s="30">
        <f t="shared" ca="1" si="15"/>
        <v>3532702</v>
      </c>
      <c r="N20" s="30">
        <f t="shared" ca="1" si="15"/>
        <v>2943061.92</v>
      </c>
      <c r="O20" s="29">
        <f t="shared" ca="1" si="12"/>
        <v>89.245760915545816</v>
      </c>
      <c r="P20" s="29">
        <f t="shared" ca="1" si="13"/>
        <v>83.309090888504045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3160305</v>
      </c>
      <c r="M22" s="41">
        <f t="shared" ca="1" si="18"/>
        <v>3395302</v>
      </c>
      <c r="N22" s="38">
        <f t="shared" ca="1" si="18"/>
        <v>2805661.92</v>
      </c>
      <c r="O22" s="38">
        <f t="shared" ca="1" si="17"/>
        <v>88.778200838210239</v>
      </c>
      <c r="P22" s="38">
        <f t="shared" ca="1" si="13"/>
        <v>82.633648494301838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1384805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2386457</v>
      </c>
      <c r="M28" s="23">
        <f t="shared" si="23"/>
        <v>0</v>
      </c>
      <c r="N28" s="23">
        <f t="shared" ca="1" si="23"/>
        <v>1224723.27</v>
      </c>
      <c r="O28" s="22">
        <f t="shared" ref="O28:O30" ca="1" si="24">IF(L28&gt;0,N28*100/L28,0)</f>
        <v>51.31972920526119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2386457</v>
      </c>
      <c r="M30" s="30">
        <f t="shared" si="27"/>
        <v>0</v>
      </c>
      <c r="N30" s="30">
        <f t="shared" ca="1" si="27"/>
        <v>1224723.27</v>
      </c>
      <c r="O30" s="29">
        <f t="shared" ca="1" si="24"/>
        <v>51.31972920526119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2386457</v>
      </c>
      <c r="M32" s="38">
        <f t="shared" si="30"/>
        <v>0</v>
      </c>
      <c r="N32" s="38">
        <f t="shared" ca="1" si="30"/>
        <v>1224723.27</v>
      </c>
      <c r="O32" s="38">
        <f t="shared" ca="1" si="29"/>
        <v>51.31972920526119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2386457</v>
      </c>
      <c r="M34" s="38">
        <f t="shared" si="32"/>
        <v>0</v>
      </c>
      <c r="N34" s="38">
        <f t="shared" ca="1" si="32"/>
        <v>1224723.27</v>
      </c>
      <c r="O34" s="38">
        <f t="shared" ca="1" si="29"/>
        <v>51.31972920526119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3297705</v>
      </c>
      <c r="M37" s="54">
        <f t="shared" ca="1" si="33"/>
        <v>3532702</v>
      </c>
      <c r="N37" s="54">
        <f t="shared" ca="1" si="33"/>
        <v>2943061.92</v>
      </c>
      <c r="O37" s="55">
        <f t="shared" ca="1" si="29"/>
        <v>89.245760915545816</v>
      </c>
      <c r="P37" s="55">
        <f t="shared" ca="1" si="25"/>
        <v>83.309090888504045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676300</v>
      </c>
      <c r="N41" s="78">
        <f t="shared" ca="1" si="34"/>
        <v>585069.25</v>
      </c>
      <c r="O41" s="77">
        <f t="shared" ref="O41:O43" ca="1" si="35">IF(L41&gt;0,N41*100/L41,0)</f>
        <v>86.510313470353395</v>
      </c>
      <c r="P41" s="77">
        <f t="shared" ref="P41:P43" ca="1" si="36">IF(M41&gt;0,N41*100/M41,0)</f>
        <v>86.510313470353395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676300</v>
      </c>
      <c r="N43" s="78">
        <f t="shared" ca="1" si="38"/>
        <v>585069.25</v>
      </c>
      <c r="O43" s="77">
        <f t="shared" ca="1" si="35"/>
        <v>86.510313470353395</v>
      </c>
      <c r="P43" s="77">
        <f t="shared" ca="1" si="36"/>
        <v>86.510313470353395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3">
        <f ca="1">IFERROR(__xludf.DUMMYFUNCTION("IMPORTRANGE(""https://docs.google.com/spreadsheets/d/1Yj_ptqi66GCucihVvJfMjLAmec39IyEx_6qawtMGysU/edit?usp=sharing"",""สบก!Q45"")"),676300)</f>
        <v>676300</v>
      </c>
      <c r="N45" s="623">
        <f ca="1">IFERROR(__xludf.DUMMYFUNCTION("IMPORTRANGE(""https://docs.google.com/spreadsheets/d/1Yj_ptqi66GCucihVvJfMjLAmec39IyEx_6qawtMGysU/edit?usp=sharing"",""สบก!R45"")"),585069.25)</f>
        <v>585069.25</v>
      </c>
      <c r="O45" s="624">
        <f ca="1">IF(L45&gt;0,N45*100/L45,0)</f>
        <v>86.510313470353395</v>
      </c>
      <c r="P45" s="624">
        <f ca="1">IF(M45&gt;0,N45*100/M45,0)</f>
        <v>86.510313470353395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IFERROR(__xludf.DUMMYFUNCTION("IMPORTRANGE(""https://docs.google.com/spreadsheets/d/1Yj_ptqi66GCucihVvJfMjLAmec39IyEx_6qawtMGysU/edit?usp=sharing"",""สบก!M45"")"),676300)</f>
        <v>676300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IFERROR(__xludf.DUMMYFUNCTION("IMPORTRANGE(""https://docs.google.com/spreadsheets/d/1Yj_ptqi66GCucihVvJfMjLAmec39IyEx_6qawtMGysU/edit?usp=sharing"",""สบก!O45"")"),0)</f>
        <v>0</v>
      </c>
      <c r="M49" s="626"/>
      <c r="N49" s="623">
        <f ca="1">IFERROR(__xludf.DUMMYFUNCTION("IMPORTRANGE(""https://docs.google.com/spreadsheets/d/1Yj_ptqi66GCucihVvJfMjLAmec39IyEx_6qawtMGysU/edit?usp=sharing"",""สบก!S45"")"),0)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555897</v>
      </c>
      <c r="N53" s="121">
        <f t="shared" ca="1" si="39"/>
        <v>539733</v>
      </c>
      <c r="O53" s="120">
        <f t="shared" ref="O53:O55" ca="1" si="40">IF(L53&gt;0,N53*100/L53,0)</f>
        <v>114.7391581632653</v>
      </c>
      <c r="P53" s="120">
        <f t="shared" ref="P53:P55" ca="1" si="41">IF(M53&gt;0,N53*100/M53,0)</f>
        <v>97.09226709264486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555897</v>
      </c>
      <c r="N55" s="121">
        <f t="shared" ca="1" si="43"/>
        <v>539733</v>
      </c>
      <c r="O55" s="120">
        <f t="shared" ca="1" si="40"/>
        <v>114.7391581632653</v>
      </c>
      <c r="P55" s="120">
        <f t="shared" ca="1" si="41"/>
        <v>97.09226709264486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623">
        <f ca="1">IFERROR(__xludf.DUMMYFUNCTION("IMPORTRANGE(""https://docs.google.com/spreadsheets/d/1Yj_ptqi66GCucihVvJfMjLAmec39IyEx_6qawtMGysU/edit?usp=sharing"",""สบก!Z45"")"),555897)</f>
        <v>555897</v>
      </c>
      <c r="N57" s="623">
        <f ca="1">IFERROR(__xludf.DUMMYFUNCTION("IMPORTRANGE(""https://docs.google.com/spreadsheets/d/1Yj_ptqi66GCucihVvJfMjLAmec39IyEx_6qawtMGysU/edit?usp=sharing"",""สบก!AA45"")"),539733)</f>
        <v>539733</v>
      </c>
      <c r="O57" s="624">
        <f ca="1">IF(L57&gt;0,N57*100/L57,0)</f>
        <v>114.7391581632653</v>
      </c>
      <c r="P57" s="624">
        <f ca="1">IF(M57&gt;0,N57*100/M57,0)</f>
        <v>97.09226709264486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IFERROR(__xludf.DUMMYFUNCTION("IMPORTRANGE(""https://docs.google.com/spreadsheets/d/1Yj_ptqi66GCucihVvJfMjLAmec39IyEx_6qawtMGysU/edit?usp=sharing"",""สบก!V45"")"),470400)</f>
        <v>470400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IFERROR(__xludf.DUMMYFUNCTION("IMPORTRANGE(""https://docs.google.com/spreadsheets/d/1Yj_ptqi66GCucihVvJfMjLAmec39IyEx_6qawtMGysU/edit?usp=sharing"",""สบก!X45"")"),0)</f>
        <v>0</v>
      </c>
      <c r="M61" s="626"/>
      <c r="N61" s="623">
        <f ca="1">IFERROR(__xludf.DUMMYFUNCTION("IMPORTRANGE(""https://docs.google.com/spreadsheets/d/1Yj_ptqi66GCucihVvJfMjLAmec39IyEx_6qawtMGysU/edit?usp=sharing"",""สบก!AB45"")"),0)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1166700</v>
      </c>
      <c r="N66" s="152">
        <f t="shared" ca="1" si="45"/>
        <v>966583.82</v>
      </c>
      <c r="O66" s="151">
        <f t="shared" ref="O66:O68" ca="1" si="46">IF(L66&gt;0,N66*100/L66,0)</f>
        <v>90.827271189626003</v>
      </c>
      <c r="P66" s="151">
        <f t="shared" ref="P66:P68" ca="1" si="47">IF(M66&gt;0,N66*100/M66,0)</f>
        <v>82.847674637867485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1166700</v>
      </c>
      <c r="N68" s="157">
        <f t="shared" ca="1" si="49"/>
        <v>966583.82</v>
      </c>
      <c r="O68" s="156">
        <f t="shared" ca="1" si="46"/>
        <v>90.827271189626003</v>
      </c>
      <c r="P68" s="156">
        <f t="shared" ca="1" si="47"/>
        <v>82.847674637867485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1019200</v>
      </c>
      <c r="M70" s="627">
        <f ca="1">IFERROR(__xludf.DUMMYFUNCTION("IMPORTRANGE(""https://docs.google.com/spreadsheets/d/1Yj_ptqi66GCucihVvJfMjLAmec39IyEx_6qawtMGysU/edit?usp=sharing"",""สบก!AI45"")"),1121700)</f>
        <v>1121700</v>
      </c>
      <c r="N70" s="628">
        <f ca="1">IFERROR(__xludf.DUMMYFUNCTION("IMPORTRANGE(""https://docs.google.com/spreadsheets/d/1Yj_ptqi66GCucihVvJfMjLAmec39IyEx_6qawtMGysU/edit?usp=sharing"",""สบก!AJ45"")"),921583.82)</f>
        <v>921583.82</v>
      </c>
      <c r="O70" s="169">
        <f ca="1">IF(L70&gt;0,N70*100/L70,0)</f>
        <v>90.422274332810048</v>
      </c>
      <c r="P70" s="169">
        <f ca="1">IF(M70&gt;0,N70*100/M70,0)</f>
        <v>82.159563163056077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IFERROR(__xludf.DUMMYFUNCTION("IMPORTRANGE(""https://docs.google.com/spreadsheets/d/1Yj_ptqi66GCucihVvJfMjLAmec39IyEx_6qawtMGysU/edit?usp=sharing"",""สบก!AF45"")"),696400)</f>
        <v>696400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IFERROR(__xludf.DUMMYFUNCTION("IMPORTRANGE(""https://docs.google.com/spreadsheets/d/1Yj_ptqi66GCucihVvJfMjLAmec39IyEx_6qawtMGysU/edit?usp=sharing"",""สบก!AG45"")"),45000)</f>
        <v>45000</v>
      </c>
      <c r="M74" s="626">
        <f ca="1">L74</f>
        <v>45000</v>
      </c>
      <c r="N74" s="623">
        <f ca="1">IFERROR(__xludf.DUMMYFUNCTION("IMPORTRANGE(""https://docs.google.com/spreadsheets/d/1Yj_ptqi66GCucihVvJfMjLAmec39IyEx_6qawtMGysU/edit?usp=sharing"",""สบก!AK45"")"),45000)</f>
        <v>45000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IFERROR(__xludf.DUMMYFUNCTION("IMPORTRANGE(""https://docs.google.com/spreadsheets/d/1XL5vhW3sbDhbH9Cz0tuDiY8C3ctxq1tqvaCgkFb8cCA/edit?usp=sharing"",""มหาสารคาม!I28"")"),2)</f>
        <v>2</v>
      </c>
      <c r="J88" s="204">
        <f ca="1">IFERROR(__xludf.DUMMYFUNCTION("IMPORTRANGE(""https://docs.google.com/spreadsheets/d/1XL5vhW3sbDhbH9Cz0tuDiY8C3ctxq1tqvaCgkFb8cCA/edit?usp=sharing"",""มหาสารคาม!J28"")"),2)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162611</v>
      </c>
      <c r="O94" s="151">
        <f t="shared" ref="O94:O96" ca="1" si="53">IF(L94&gt;0,N94*100/L94,0)</f>
        <v>75.809324009324015</v>
      </c>
      <c r="P94" s="151">
        <f t="shared" ref="P94:P96" ca="1" si="54">IF(M94&gt;0,N94*100/M94,0)</f>
        <v>75.809324009324015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162611</v>
      </c>
      <c r="O96" s="156">
        <f t="shared" ca="1" si="53"/>
        <v>75.809324009324015</v>
      </c>
      <c r="P96" s="156">
        <f t="shared" ca="1" si="54"/>
        <v>75.809324009324015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IFERROR(__xludf.DUMMYFUNCTION("IMPORTRANGE(""https://docs.google.com/spreadsheets/d/1Yj_ptqi66GCucihVvJfMjLAmec39IyEx_6qawtMGysU/edit?usp=sharing"",""สบก!AR45"")"),122100)</f>
        <v>122100</v>
      </c>
      <c r="N98" s="628">
        <f ca="1">IFERROR(__xludf.DUMMYFUNCTION("IMPORTRANGE(""https://docs.google.com/spreadsheets/d/1Yj_ptqi66GCucihVvJfMjLAmec39IyEx_6qawtMGysU/edit?usp=sharing"",""สบก!AS45"")"),70211)</f>
        <v>70211</v>
      </c>
      <c r="O98" s="169">
        <f ca="1">IF(L98&gt;0,N98*100/L98,0)</f>
        <v>57.502866502866503</v>
      </c>
      <c r="P98" s="169">
        <f ca="1">IF(M98&gt;0,N98*100/M98,0)</f>
        <v>57.502866502866503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IFERROR(__xludf.DUMMYFUNCTION("IMPORTRANGE(""https://docs.google.com/spreadsheets/d/1Yj_ptqi66GCucihVvJfMjLAmec39IyEx_6qawtMGysU/edit?usp=sharing"",""สบก!AO45"")"),122100)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IFERROR(__xludf.DUMMYFUNCTION("IMPORTRANGE(""https://docs.google.com/spreadsheets/d/1Yj_ptqi66GCucihVvJfMjLAmec39IyEx_6qawtMGysU/edit?usp=sharing"",""สบก!AP45"")"),92400)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IFERROR(__xludf.DUMMYFUNCTION("IMPORTRANGE(""https://docs.google.com/spreadsheets/d/1Yj_ptqi66GCucihVvJfMjLAmec39IyEx_6qawtMGysU/edit?usp=sharing"",""สบก!AT45"")"),92400)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IFERROR(__xludf.DUMMYFUNCTION("IMPORTRANGE(""https://docs.google.com/spreadsheets/d/1XL5vhW3sbDhbH9Cz0tuDiY8C3ctxq1tqvaCgkFb8cCA/edit?usp=sharing"",""มหาสารคาม!J50"")"),0)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7885</v>
      </c>
      <c r="M118" s="152">
        <f t="shared" ca="1" si="58"/>
        <v>7885</v>
      </c>
      <c r="N118" s="152">
        <f t="shared" ca="1" si="58"/>
        <v>6088</v>
      </c>
      <c r="O118" s="151">
        <f t="shared" ref="O118:O120" ca="1" si="59">IF(L118&gt;0,N118*100/L118,0)</f>
        <v>77.209892200380466</v>
      </c>
      <c r="P118" s="151">
        <f t="shared" ref="P118:P120" ca="1" si="60">IF(M118&gt;0,N118*100/M118,0)</f>
        <v>77.209892200380466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7885</v>
      </c>
      <c r="M120" s="157">
        <f t="shared" ca="1" si="62"/>
        <v>7885</v>
      </c>
      <c r="N120" s="157">
        <f t="shared" ca="1" si="62"/>
        <v>6088</v>
      </c>
      <c r="O120" s="156">
        <f t="shared" ca="1" si="59"/>
        <v>77.209892200380466</v>
      </c>
      <c r="P120" s="156">
        <f t="shared" ca="1" si="60"/>
        <v>77.209892200380466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7885</v>
      </c>
      <c r="M122" s="627">
        <f ca="1">IFERROR(__xludf.DUMMYFUNCTION("IMPORTRANGE(""https://docs.google.com/spreadsheets/d/1Yj_ptqi66GCucihVvJfMjLAmec39IyEx_6qawtMGysU/edit?usp=sharing"",""สบก!BA45"")"),7885)</f>
        <v>7885</v>
      </c>
      <c r="N122" s="628">
        <f ca="1">IFERROR(__xludf.DUMMYFUNCTION("IMPORTRANGE(""https://docs.google.com/spreadsheets/d/1Yj_ptqi66GCucihVvJfMjLAmec39IyEx_6qawtMGysU/edit?usp=sharing"",""สบก!BB45"")"),6088)</f>
        <v>6088</v>
      </c>
      <c r="O122" s="169">
        <f ca="1">IF(L122&gt;0,N122*100/L122,0)</f>
        <v>77.209892200380466</v>
      </c>
      <c r="P122" s="169">
        <f ca="1">IF(M122&gt;0,N122*100/M122,0)</f>
        <v>77.209892200380466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IFERROR(__xludf.DUMMYFUNCTION("IMPORTRANGE(""https://docs.google.com/spreadsheets/d/1Yj_ptqi66GCucihVvJfMjLAmec39IyEx_6qawtMGysU/edit?usp=sharing"",""สบก!AX45"")"),7885)</f>
        <v>7885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IFERROR(__xludf.DUMMYFUNCTION("IMPORTRANGE(""https://docs.google.com/spreadsheets/d/1Yj_ptqi66GCucihVvJfMjLAmec39IyEx_6qawtMGysU/edit?usp=sharing"",""สบก!AY45"")"),0)</f>
        <v>0</v>
      </c>
      <c r="M126" s="626"/>
      <c r="N126" s="623">
        <f ca="1">IFERROR(__xludf.DUMMYFUNCTION("IMPORTRANGE(""https://docs.google.com/spreadsheets/d/1Yj_ptqi66GCucihVvJfMjLAmec39IyEx_6qawtMGysU/edit?usp=sharing"",""สบก!BC45"")"),0)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127500</v>
      </c>
      <c r="M140" s="152">
        <f t="shared" ca="1" si="64"/>
        <v>135500</v>
      </c>
      <c r="N140" s="152">
        <f t="shared" ca="1" si="64"/>
        <v>82185</v>
      </c>
      <c r="O140" s="151">
        <f t="shared" ref="O140:O142" ca="1" si="65">IF(L140&gt;0,N140*100/L140,0)</f>
        <v>64.45882352941176</v>
      </c>
      <c r="P140" s="151">
        <f t="shared" ref="P140:P142" ca="1" si="66">IF(M140&gt;0,N140*100/M140,0)</f>
        <v>60.653136531365313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127500</v>
      </c>
      <c r="M142" s="157">
        <f t="shared" ca="1" si="68"/>
        <v>135500</v>
      </c>
      <c r="N142" s="157">
        <f t="shared" ca="1" si="68"/>
        <v>82185</v>
      </c>
      <c r="O142" s="156">
        <f t="shared" ca="1" si="65"/>
        <v>64.45882352941176</v>
      </c>
      <c r="P142" s="156">
        <f t="shared" ca="1" si="66"/>
        <v>60.653136531365313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127500</v>
      </c>
      <c r="M144" s="627">
        <f ca="1">IFERROR(__xludf.DUMMYFUNCTION("IMPORTRANGE(""https://docs.google.com/spreadsheets/d/1Yj_ptqi66GCucihVvJfMjLAmec39IyEx_6qawtMGysU/edit?usp=sharing"",""สบก!BJ45"")"),135500)</f>
        <v>135500</v>
      </c>
      <c r="N144" s="628">
        <f ca="1">IFERROR(__xludf.DUMMYFUNCTION("IMPORTRANGE(""https://docs.google.com/spreadsheets/d/1Yj_ptqi66GCucihVvJfMjLAmec39IyEx_6qawtMGysU/edit?usp=sharing"",""สบก!BK45"")"),82185)</f>
        <v>82185</v>
      </c>
      <c r="O144" s="169">
        <f ca="1">IF(L144&gt;0,N144*100/L144,0)</f>
        <v>64.45882352941176</v>
      </c>
      <c r="P144" s="169">
        <f ca="1">IF(M144&gt;0,N144*100/M144,0)</f>
        <v>60.653136531365313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IFERROR(__xludf.DUMMYFUNCTION("IMPORTRANGE(""https://docs.google.com/spreadsheets/d/1Yj_ptqi66GCucihVvJfMjLAmec39IyEx_6qawtMGysU/edit?usp=sharing"",""สบก!BG45"")"),127500)</f>
        <v>127500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IFERROR(__xludf.DUMMYFUNCTION("IMPORTRANGE(""https://docs.google.com/spreadsheets/d/1Yj_ptqi66GCucihVvJfMjLAmec39IyEx_6qawtMGysU/edit?usp=sharing"",""สบก!BH45"")"),0)</f>
        <v>0</v>
      </c>
      <c r="M148" s="626"/>
      <c r="N148" s="623">
        <f ca="1">IFERROR(__xludf.DUMMYFUNCTION("IMPORTRANGE(""https://docs.google.com/spreadsheets/d/1Yj_ptqi66GCucihVvJfMjLAmec39IyEx_6qawtMGysU/edit?usp=sharing"",""สบก!BL45"")"),0)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IFERROR(__xludf.DUMMYFUNCTION("IMPORTRANGE(""https://docs.google.com/spreadsheets/d/1XL5vhW3sbDhbH9Cz0tuDiY8C3ctxq1tqvaCgkFb8cCA/edit?usp=sharing"",""มหาสารคาม!J84"")"),103)</f>
        <v>103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IFERROR(__xludf.DUMMYFUNCTION("IMPORTRANGE(""https://docs.google.com/spreadsheets/d/1XL5vhW3sbDhbH9Cz0tuDiY8C3ctxq1tqvaCgkFb8cCA/edit?usp=sharing"",""มหาสารคาม!J85"")"),103)</f>
        <v>103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IFERROR(__xludf.DUMMYFUNCTION("IMPORTRANGE(""https://docs.google.com/spreadsheets/d/1XL5vhW3sbDhbH9Cz0tuDiY8C3ctxq1tqvaCgkFb8cCA/edit?usp=sharing"",""มหาสารคาม!J88"")"),0)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IFERROR(__xludf.DUMMYFUNCTION("IMPORTRANGE(""https://docs.google.com/spreadsheets/d/1XL5vhW3sbDhbH9Cz0tuDiY8C3ctxq1tqvaCgkFb8cCA/edit?usp=sharing"",""มหาสารคาม!I89"")"),4)</f>
        <v>4</v>
      </c>
      <c r="J164" s="285">
        <f ca="1">IFERROR(__xludf.DUMMYFUNCTION("IMPORTRANGE(""https://docs.google.com/spreadsheets/d/1XL5vhW3sbDhbH9Cz0tuDiY8C3ctxq1tqvaCgkFb8cCA/edit?usp=sharing"",""มหาสารคาม!J89"")"),4)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IFERROR(__xludf.DUMMYFUNCTION("IMPORTRANGE(""https://docs.google.com/spreadsheets/d/1XL5vhW3sbDhbH9Cz0tuDiY8C3ctxq1tqvaCgkFb8cCA/edit?usp=sharing"",""มหาสารคาม!J100"")"),0)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IFERROR(__xludf.DUMMYFUNCTION("IMPORTRANGE(""https://docs.google.com/spreadsheets/d/1XL5vhW3sbDhbH9Cz0tuDiY8C3ctxq1tqvaCgkFb8cCA/edit?usp=sharing"",""มหาสารคาม!I101"")"),0)</f>
        <v>0</v>
      </c>
      <c r="J176" s="285">
        <f ca="1">IFERROR(__xludf.DUMMYFUNCTION("IMPORTRANGE(""https://docs.google.com/spreadsheets/d/1XL5vhW3sbDhbH9Cz0tuDiY8C3ctxq1tqvaCgkFb8cCA/edit?usp=sharing"",""มหาสารคาม!J101"")"),0)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IFERROR(__xludf.DUMMYFUNCTION("IMPORTRANGE(""https://docs.google.com/spreadsheets/d/1XL5vhW3sbDhbH9Cz0tuDiY8C3ctxq1tqvaCgkFb8cCA/edit?usp=sharing"",""มหาสารคาม!I114"")"),100000)</f>
        <v>100000</v>
      </c>
      <c r="J189" s="285">
        <f ca="1">IFERROR(__xludf.DUMMYFUNCTION("IMPORTRANGE(""https://docs.google.com/spreadsheets/d/1XL5vhW3sbDhbH9Cz0tuDiY8C3ctxq1tqvaCgkFb8cCA/edit?usp=sharing"",""มหาสารคาม!J114"")"),0)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IFERROR(__xludf.DUMMYFUNCTION("IMPORTRANGE(""https://docs.google.com/spreadsheets/d/1XL5vhW3sbDhbH9Cz0tuDiY8C3ctxq1tqvaCgkFb8cCA/edit?usp=sharing"",""มหาสารคาม!J128"")"),0)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IFERROR(__xludf.DUMMYFUNCTION("IMPORTRANGE(""https://docs.google.com/spreadsheets/d/1XL5vhW3sbDhbH9Cz0tuDiY8C3ctxq1tqvaCgkFb8cCA/edit?usp=sharing"",""มหาสารคาม!I129"")"),0)</f>
        <v>0</v>
      </c>
      <c r="J204" s="285">
        <f ca="1">IFERROR(__xludf.DUMMYFUNCTION("IMPORTRANGE(""https://docs.google.com/spreadsheets/d/1XL5vhW3sbDhbH9Cz0tuDiY8C3ctxq1tqvaCgkFb8cCA/edit?usp=sharing"",""มหาสารคาม!J129"")"),0)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IFERROR(__xludf.DUMMYFUNCTION("IMPORTRANGE(""https://docs.google.com/spreadsheets/d/1Yj_ptqi66GCucihVvJfMjLAmec39IyEx_6qawtMGysU/edit?usp=sharing"",""สบก!BS45"")"),20210)</f>
        <v>20210</v>
      </c>
      <c r="N224" s="628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IFERROR(__xludf.DUMMYFUNCTION("IMPORTRANGE(""https://docs.google.com/spreadsheets/d/1Yj_ptqi66GCucihVvJfMjLAmec39IyEx_6qawtMGysU/edit?usp=sharing"",""สบก!BQ45"")"),0)</f>
        <v>0</v>
      </c>
      <c r="M228" s="626"/>
      <c r="N228" s="623">
        <f ca="1">IFERROR(__xludf.DUMMYFUNCTION("IMPORTRANGE(""https://docs.google.com/spreadsheets/d/1Yj_ptqi66GCucihVvJfMjLAmec39IyEx_6qawtMGysU/edit?usp=sharing"",""สบก!BU45"")"),0)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IFERROR(__xludf.DUMMYFUNCTION("IMPORTRANGE(""https://docs.google.com/spreadsheets/d/1XL5vhW3sbDhbH9Cz0tuDiY8C3ctxq1tqvaCgkFb8cCA/edit?usp=sharing"",""มหาสารคาม!I169"")"),0)</f>
        <v>0</v>
      </c>
      <c r="J249" s="317">
        <f ca="1">IFERROR(__xludf.DUMMYFUNCTION("IMPORTRANGE(""https://docs.google.com/spreadsheets/d/1XL5vhW3sbDhbH9Cz0tuDiY8C3ctxq1tqvaCgkFb8cCA/edit?usp=sharing"",""มหาสารคาม!J169"")"),0)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IFERROR(__xludf.DUMMYFUNCTION("IMPORTRANGE(""https://docs.google.com/spreadsheets/d/1Yj_ptqi66GCucihVvJfMjLAmec39IyEx_6qawtMGysU/edit?usp=sharing"",""สบก!CB45"")"),0)</f>
        <v>0</v>
      </c>
      <c r="N254" s="628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IFERROR(__xludf.DUMMYFUNCTION("IMPORTRANGE(""https://docs.google.com/spreadsheets/d/1Yj_ptqi66GCucihVvJfMjLAmec39IyEx_6qawtMGysU/edit?usp=sharing"",""สบก!BZ45"")"),0)</f>
        <v>0</v>
      </c>
      <c r="M258" s="626"/>
      <c r="N258" s="623">
        <f ca="1">IFERROR(__xludf.DUMMYFUNCTION("IMPORTRANGE(""https://docs.google.com/spreadsheets/d/1Yj_ptqi66GCucihVvJfMjLAmec39IyEx_6qawtMGysU/edit?usp=sharing"",""สบก!CD45"")"),0)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IFERROR(__xludf.DUMMYFUNCTION("IMPORTRANGE(""https://docs.google.com/spreadsheets/d/1XL5vhW3sbDhbH9Cz0tuDiY8C3ctxq1tqvaCgkFb8cCA/edit?usp=sharing"",""มหาสารคาม!J184"")"),0)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IFERROR(__xludf.DUMMYFUNCTION("IMPORTRANGE(""https://docs.google.com/spreadsheets/d/1XL5vhW3sbDhbH9Cz0tuDiY8C3ctxq1tqvaCgkFb8cCA/edit?usp=sharing"",""มหาสารคาม!I185"")"),15)</f>
        <v>15</v>
      </c>
      <c r="J270" s="317">
        <f ca="1">IFERROR(__xludf.DUMMYFUNCTION("IMPORTRANGE(""https://docs.google.com/spreadsheets/d/1XL5vhW3sbDhbH9Cz0tuDiY8C3ctxq1tqvaCgkFb8cCA/edit?usp=sharing"",""มหาสารคาม!J185"")"),15)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49200</v>
      </c>
      <c r="O271" s="151">
        <f t="shared" ref="O271:O273" ca="1" si="84">IF(L271&gt;0,N271*100/L271,0)</f>
        <v>89.130434782608702</v>
      </c>
      <c r="P271" s="151">
        <f t="shared" ref="P271:P273" ca="1" si="85">IF(M271&gt;0,N271*100/M271,0)</f>
        <v>89.130434782608702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49200</v>
      </c>
      <c r="O273" s="156">
        <f t="shared" ca="1" si="84"/>
        <v>89.130434782608702</v>
      </c>
      <c r="P273" s="156">
        <f t="shared" ca="1" si="85"/>
        <v>89.130434782608702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IFERROR(__xludf.DUMMYFUNCTION("IMPORTRANGE(""https://docs.google.com/spreadsheets/d/1Yj_ptqi66GCucihVvJfMjLAmec39IyEx_6qawtMGysU/edit?usp=sharing"",""สบก!CK45"")"),55200)</f>
        <v>55200</v>
      </c>
      <c r="N275" s="628">
        <f ca="1">IFERROR(__xludf.DUMMYFUNCTION("IMPORTRANGE(""https://docs.google.com/spreadsheets/d/1Yj_ptqi66GCucihVvJfMjLAmec39IyEx_6qawtMGysU/edit?usp=sharing"",""สบก!CL45"")"),49200)</f>
        <v>49200</v>
      </c>
      <c r="O275" s="169">
        <f ca="1">IF(L275&gt;0,N275*100/L275,0)</f>
        <v>89.130434782608702</v>
      </c>
      <c r="P275" s="169">
        <f ca="1">IF(M275&gt;0,N275*100/M275,0)</f>
        <v>89.130434782608702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IFERROR(__xludf.DUMMYFUNCTION("IMPORTRANGE(""https://docs.google.com/spreadsheets/d/1Yj_ptqi66GCucihVvJfMjLAmec39IyEx_6qawtMGysU/edit?usp=sharing"",""สบก!CI45"")"),0)</f>
        <v>0</v>
      </c>
      <c r="M279" s="626"/>
      <c r="N279" s="623">
        <f ca="1">IFERROR(__xludf.DUMMYFUNCTION("IMPORTRANGE(""https://docs.google.com/spreadsheets/d/1Yj_ptqi66GCucihVvJfMjLAmec39IyEx_6qawtMGysU/edit?usp=sharing"",""สบก!CM45"")"),0)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IFERROR(__xludf.DUMMYFUNCTION("IMPORTRANGE(""https://docs.google.com/spreadsheets/d/1XL5vhW3sbDhbH9Cz0tuDiY8C3ctxq1tqvaCgkFb8cCA/edit?usp=sharing"",""มหาสารคาม!J197"")"),0)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IFERROR(__xludf.DUMMYFUNCTION("IMPORTRANGE(""https://docs.google.com/spreadsheets/d/1XL5vhW3sbDhbH9Cz0tuDiY8C3ctxq1tqvaCgkFb8cCA/edit?usp=sharing"",""มหาสารคาม!I199"")"),0)</f>
        <v>0</v>
      </c>
      <c r="J289" s="317">
        <f ca="1">IFERROR(__xludf.DUMMYFUNCTION("IMPORTRANGE(""https://docs.google.com/spreadsheets/d/1XL5vhW3sbDhbH9Cz0tuDiY8C3ctxq1tqvaCgkFb8cCA/edit?usp=sharing"",""มหาสารคาม!J199"")"),0)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IFERROR(__xludf.DUMMYFUNCTION("IMPORTRANGE(""https://docs.google.com/spreadsheets/d/1Yj_ptqi66GCucihVvJfMjLAmec39IyEx_6qawtMGysU/edit?usp=sharing"",""สบก!CT45"")"),0)</f>
        <v>0</v>
      </c>
      <c r="N294" s="628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IFERROR(__xludf.DUMMYFUNCTION("IMPORTRANGE(""https://docs.google.com/spreadsheets/d/1Yj_ptqi66GCucihVvJfMjLAmec39IyEx_6qawtMGysU/edit?usp=sharing"",""สบก!CR45"")"),0)</f>
        <v>0</v>
      </c>
      <c r="M298" s="626"/>
      <c r="N298" s="623">
        <f ca="1">IFERROR(__xludf.DUMMYFUNCTION("IMPORTRANGE(""https://docs.google.com/spreadsheets/d/1Yj_ptqi66GCucihVvJfMjLAmec39IyEx_6qawtMGysU/edit?usp=sharing"",""สบก!CV45"")"),0)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IFERROR(__xludf.DUMMYFUNCTION("IMPORTRANGE(""https://docs.google.com/spreadsheets/d/1XL5vhW3sbDhbH9Cz0tuDiY8C3ctxq1tqvaCgkFb8cCA/edit?usp=sharing"",""มหาสารคาม!I214"")"),0)</f>
        <v>0</v>
      </c>
      <c r="J309" s="334">
        <f ca="1">IFERROR(__xludf.DUMMYFUNCTION("IMPORTRANGE(""https://docs.google.com/spreadsheets/d/1XL5vhW3sbDhbH9Cz0tuDiY8C3ctxq1tqvaCgkFb8cCA/edit?usp=sharing"",""มหาสารคาม!J214"")"),0)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IFERROR(__xludf.DUMMYFUNCTION("IMPORTRANGE(""https://docs.google.com/spreadsheets/d/1Yj_ptqi66GCucihVvJfMjLAmec39IyEx_6qawtMGysU/edit?usp=sharing"",""สบก!DC45"")"),0)</f>
        <v>0</v>
      </c>
      <c r="N314" s="628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IFERROR(__xludf.DUMMYFUNCTION("IMPORTRANGE(""https://docs.google.com/spreadsheets/d/1Yj_ptqi66GCucihVvJfMjLAmec39IyEx_6qawtMGysU/edit?usp=sharing"",""สบก!DA45"")"),0)</f>
        <v>0</v>
      </c>
      <c r="M318" s="626"/>
      <c r="N318" s="623">
        <f ca="1">IFERROR(__xludf.DUMMYFUNCTION("IMPORTRANGE(""https://docs.google.com/spreadsheets/d/1Yj_ptqi66GCucihVvJfMjLAmec39IyEx_6qawtMGysU/edit?usp=sharing"",""สบก!DE45"")"),0)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IFERROR(__xludf.DUMMYFUNCTION("IMPORTRANGE(""https://docs.google.com/spreadsheets/d/1XL5vhW3sbDhbH9Cz0tuDiY8C3ctxq1tqvaCgkFb8cCA/edit?usp=sharing"",""มหาสารคาม!I228"")"),195)</f>
        <v>195</v>
      </c>
      <c r="J328" s="340">
        <f ca="1">IFERROR(__xludf.DUMMYFUNCTION("IMPORTRANGE(""https://docs.google.com/spreadsheets/d/1XL5vhW3sbDhbH9Cz0tuDiY8C3ctxq1tqvaCgkFb8cCA/edit?usp=sharing"",""มหาสารคาม!J228"")"),132)</f>
        <v>132</v>
      </c>
      <c r="K328" s="318">
        <f ca="1">IF(I328&gt;0,J328*100/I328,0)</f>
        <v>67.692307692307693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661510</v>
      </c>
      <c r="M329" s="152">
        <f t="shared" ca="1" si="98"/>
        <v>700510</v>
      </c>
      <c r="N329" s="152">
        <f t="shared" ca="1" si="98"/>
        <v>531381.85</v>
      </c>
      <c r="O329" s="151">
        <f t="shared" ref="O329:O331" ca="1" si="99">IF(L329&gt;0,N329*100/L329,0)</f>
        <v>80.328619370833394</v>
      </c>
      <c r="P329" s="151">
        <f t="shared" ref="P329:P331" ca="1" si="100">IF(M329&gt;0,N329*100/M329,0)</f>
        <v>75.856426032462068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661510</v>
      </c>
      <c r="M331" s="157">
        <f t="shared" ca="1" si="102"/>
        <v>700510</v>
      </c>
      <c r="N331" s="157">
        <f t="shared" ca="1" si="102"/>
        <v>531381.85</v>
      </c>
      <c r="O331" s="156">
        <f t="shared" ca="1" si="99"/>
        <v>80.328619370833394</v>
      </c>
      <c r="P331" s="156">
        <f t="shared" ca="1" si="100"/>
        <v>75.856426032462068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661510</v>
      </c>
      <c r="M333" s="627">
        <f ca="1">IFERROR(__xludf.DUMMYFUNCTION("IMPORTRANGE(""https://docs.google.com/spreadsheets/d/1Yj_ptqi66GCucihVvJfMjLAmec39IyEx_6qawtMGysU/edit?usp=sharing"",""สบก!DL45"")"),700510)</f>
        <v>700510</v>
      </c>
      <c r="N333" s="628">
        <f ca="1">IFERROR(__xludf.DUMMYFUNCTION("IMPORTRANGE(""https://docs.google.com/spreadsheets/d/1Yj_ptqi66GCucihVvJfMjLAmec39IyEx_6qawtMGysU/edit?usp=sharing"",""สบก!DM45"")"),531381.85)</f>
        <v>531381.85</v>
      </c>
      <c r="O333" s="169">
        <f ca="1">IF(L333&gt;0,N333*100/L333,0)</f>
        <v>80.328619370833394</v>
      </c>
      <c r="P333" s="169">
        <f ca="1">IF(M333&gt;0,N333*100/M333,0)</f>
        <v>75.856426032462068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IFERROR(__xludf.DUMMYFUNCTION("IMPORTRANGE(""https://docs.google.com/spreadsheets/d/1Yj_ptqi66GCucihVvJfMjLAmec39IyEx_6qawtMGysU/edit?usp=sharing"",""สบก!DI45"")"),355510)</f>
        <v>355510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IFERROR(__xludf.DUMMYFUNCTION("IMPORTRANGE(""https://docs.google.com/spreadsheets/d/1Yj_ptqi66GCucihVvJfMjLAmec39IyEx_6qawtMGysU/edit?usp=sharing"",""สบก!DJ45"")"),0)</f>
        <v>0</v>
      </c>
      <c r="M337" s="626"/>
      <c r="N337" s="623">
        <f ca="1">IFERROR(__xludf.DUMMYFUNCTION("IMPORTRANGE(""https://docs.google.com/spreadsheets/d/1Yj_ptqi66GCucihVvJfMjLAmec39IyEx_6qawtMGysU/edit?usp=sharing"",""สบก!DN45"")"),0)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IFERROR(__xludf.DUMMYFUNCTION("IMPORTRANGE(""https://docs.google.com/spreadsheets/d/1XL5vhW3sbDhbH9Cz0tuDiY8C3ctxq1tqvaCgkFb8cCA/edit?usp=sharing"",""มหาสารคาม!J234"")"),228)</f>
        <v>228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IFERROR(__xludf.DUMMYFUNCTION("IMPORTRANGE(""https://docs.google.com/spreadsheets/d/1XL5vhW3sbDhbH9Cz0tuDiY8C3ctxq1tqvaCgkFb8cCA/edit?usp=sharing"",""มหาสารคาม!J235"")"),1513.25)</f>
        <v>1513.25</v>
      </c>
      <c r="K340" s="343">
        <f t="shared" ca="1" si="103"/>
        <v>112.0925925925926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IFERROR(__xludf.DUMMYFUNCTION("IMPORTRANGE(""https://docs.google.com/spreadsheets/d/1XL5vhW3sbDhbH9Cz0tuDiY8C3ctxq1tqvaCgkFb8cCA/edit?usp=sharing"",""มหาสารคาม!J236"")"),209)</f>
        <v>209</v>
      </c>
      <c r="K341" s="343">
        <f t="shared" ca="1" si="103"/>
        <v>107.17948717948718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IFERROR(__xludf.DUMMYFUNCTION("IMPORTRANGE(""https://docs.google.com/spreadsheets/d/1XL5vhW3sbDhbH9Cz0tuDiY8C3ctxq1tqvaCgkFb8cCA/edit?usp=sharing"",""มหาสารคาม!J237"")"),1983.29)</f>
        <v>1983.29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IFERROR(__xludf.DUMMYFUNCTION("IMPORTRANGE(""https://docs.google.com/spreadsheets/d/1XL5vhW3sbDhbH9Cz0tuDiY8C3ctxq1tqvaCgkFb8cCA/edit?usp=sharing"",""มหาสารคาม!J240"")"),132)</f>
        <v>132</v>
      </c>
      <c r="K345" s="343">
        <f t="shared" ca="1" si="103"/>
        <v>67.692307692307693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IFERROR(__xludf.DUMMYFUNCTION("IMPORTRANGE(""https://docs.google.com/spreadsheets/d/1XL5vhW3sbDhbH9Cz0tuDiY8C3ctxq1tqvaCgkFb8cCA/edit?usp=sharing"",""มหาสารคาม!J241"")"),1216.38)</f>
        <v>1216.3800000000001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IFERROR(__xludf.DUMMYFUNCTION("IMPORTRANGE(""https://docs.google.com/spreadsheets/d/1XL5vhW3sbDhbH9Cz0tuDiY8C3ctxq1tqvaCgkFb8cCA/edit?usp=sharing"",""มหาสารคาม!L242"")"),2386457)</f>
        <v>2386457</v>
      </c>
      <c r="M347" s="358"/>
      <c r="N347" s="358">
        <f ca="1">IFERROR(__xludf.DUMMYFUNCTION("IMPORTRANGE(""https://docs.google.com/spreadsheets/d/1XL5vhW3sbDhbH9Cz0tuDiY8C3ctxq1tqvaCgkFb8cCA/edit?usp=sharing"",""มหาสารคาม!M242"")"),1224723.27)</f>
        <v>1224723.27</v>
      </c>
      <c r="O347" s="358">
        <f ca="1">+IF(L347&gt;0,N347*100/L347,0)</f>
        <v>51.31972920526119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IFERROR(__xludf.DUMMYFUNCTION("IMPORTRANGE(""https://docs.google.com/spreadsheets/d/1XL5vhW3sbDhbH9Cz0tuDiY8C3ctxq1tqvaCgkFb8cCA/edit?usp=sharing"",""มหาสารคาม!M244"")"),465927.48)</f>
        <v>465927.48</v>
      </c>
      <c r="O349" s="373">
        <f ca="1">+IF(L349&gt;0,N349*100/L349,0)</f>
        <v>75.600759370436478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IFERROR(__xludf.DUMMYFUNCTION("IMPORTRANGE(""https://docs.google.com/spreadsheets/d/1XL5vhW3sbDhbH9Cz0tuDiY8C3ctxq1tqvaCgkFb8cCA/edit?usp=sharing"",""มหาสารคาม!L247"")"),616300)</f>
        <v>616300</v>
      </c>
      <c r="M352" s="165"/>
      <c r="N352" s="164">
        <f ca="1">IFERROR(__xludf.DUMMYFUNCTION("IMPORTRANGE(""https://docs.google.com/spreadsheets/d/1XL5vhW3sbDhbH9Cz0tuDiY8C3ctxq1tqvaCgkFb8cCA/edit?usp=sharing"",""มหาสารคาม!M247"")"),465927.48)</f>
        <v>465927.48</v>
      </c>
      <c r="O352" s="165">
        <f t="shared" ca="1" si="105"/>
        <v>75.600759370436478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IFERROR(__xludf.DUMMYFUNCTION("IMPORTRANGE(""https://docs.google.com/spreadsheets/d/1XL5vhW3sbDhbH9Cz0tuDiY8C3ctxq1tqvaCgkFb8cCA/edit?usp=sharing"",""มหาสารคาม!L249"")"),616300)</f>
        <v>616300</v>
      </c>
      <c r="M354" s="169"/>
      <c r="N354" s="168">
        <f ca="1">IFERROR(__xludf.DUMMYFUNCTION("IMPORTRANGE(""https://docs.google.com/spreadsheets/d/1XL5vhW3sbDhbH9Cz0tuDiY8C3ctxq1tqvaCgkFb8cCA/edit?usp=sharing"",""มหาสารคาม!M249"")"),465927.48)</f>
        <v>465927.48</v>
      </c>
      <c r="O354" s="169">
        <f t="shared" ca="1" si="105"/>
        <v>75.600759370436478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IFERROR(__xludf.DUMMYFUNCTION("IMPORTRANGE(""https://docs.google.com/spreadsheets/d/1XL5vhW3sbDhbH9Cz0tuDiY8C3ctxq1tqvaCgkFb8cCA/edit?usp=sharing"",""มหาสารคาม!M250"")"),141352)</f>
        <v>141352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IFERROR(__xludf.DUMMYFUNCTION("IMPORTRANGE(""https://docs.google.com/spreadsheets/d/1XL5vhW3sbDhbH9Cz0tuDiY8C3ctxq1tqvaCgkFb8cCA/edit?usp=sharing"",""มหาสารคาม!M251"")"),213740)</f>
        <v>213740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IFERROR(__xludf.DUMMYFUNCTION("IMPORTRANGE(""https://docs.google.com/spreadsheets/d/1XL5vhW3sbDhbH9Cz0tuDiY8C3ctxq1tqvaCgkFb8cCA/edit?usp=sharing"",""มหาสารคาม!M252"")"),103935.48)</f>
        <v>103935.48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IFERROR(__xludf.DUMMYFUNCTION("IMPORTRANGE(""https://docs.google.com/spreadsheets/d/1XL5vhW3sbDhbH9Cz0tuDiY8C3ctxq1tqvaCgkFb8cCA/edit?usp=sharing"",""มหาสารคาม!M253"")"),6900)</f>
        <v>6900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IFERROR(__xludf.DUMMYFUNCTION("IMPORTRANGE(""https://docs.google.com/spreadsheets/d/1XL5vhW3sbDhbH9Cz0tuDiY8C3ctxq1tqvaCgkFb8cCA/edit?usp=sharing"",""มหาสารคาม!J271"")"),25)</f>
        <v>25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IFERROR(__xludf.DUMMYFUNCTION("IMPORTRANGE(""https://docs.google.com/spreadsheets/d/1XL5vhW3sbDhbH9Cz0tuDiY8C3ctxq1tqvaCgkFb8cCA/edit?usp=sharing"",""มหาสารคาม!J272"")"),275)</f>
        <v>275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IFERROR(__xludf.DUMMYFUNCTION("IMPORTRANGE(""https://docs.google.com/spreadsheets/d/1XL5vhW3sbDhbH9Cz0tuDiY8C3ctxq1tqvaCgkFb8cCA/edit?usp=sharing"",""มหาสารคาม!M275"")"),222860.65)</f>
        <v>222860.65</v>
      </c>
      <c r="O380" s="373">
        <f ca="1">+IF(L380&gt;0,N380*100/L380,0)</f>
        <v>21.668091043441059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IFERROR(__xludf.DUMMYFUNCTION("IMPORTRANGE(""https://docs.google.com/spreadsheets/d/1XL5vhW3sbDhbH9Cz0tuDiY8C3ctxq1tqvaCgkFb8cCA/edit?usp=sharing"",""มหาสารคาม!M278"")"),222860.65)</f>
        <v>222860.65</v>
      </c>
      <c r="O383" s="165">
        <f t="shared" ca="1" si="109"/>
        <v>21.668091043441059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IFERROR(__xludf.DUMMYFUNCTION("IMPORTRANGE(""https://docs.google.com/spreadsheets/d/1XL5vhW3sbDhbH9Cz0tuDiY8C3ctxq1tqvaCgkFb8cCA/edit?usp=sharing"",""มหาสารคาม!M280"")"),222860.65)</f>
        <v>222860.65</v>
      </c>
      <c r="O385" s="169">
        <f t="shared" ca="1" si="109"/>
        <v>21.668091043441059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IFERROR(__xludf.DUMMYFUNCTION("IMPORTRANGE(""https://docs.google.com/spreadsheets/d/1XL5vhW3sbDhbH9Cz0tuDiY8C3ctxq1tqvaCgkFb8cCA/edit?usp=sharing"",""มหาสารคาม!M281"")"),102950)</f>
        <v>102950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IFERROR(__xludf.DUMMYFUNCTION("IMPORTRANGE(""https://docs.google.com/spreadsheets/d/1XL5vhW3sbDhbH9Cz0tuDiY8C3ctxq1tqvaCgkFb8cCA/edit?usp=sharing"",""มหาสารคาม!M283"")"),103580.65)</f>
        <v>103580.65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IFERROR(__xludf.DUMMYFUNCTION("IMPORTRANGE(""https://docs.google.com/spreadsheets/d/1XL5vhW3sbDhbH9Cz0tuDiY8C3ctxq1tqvaCgkFb8cCA/edit?usp=sharing"",""มหาสารคาม!M284"")"),16330)</f>
        <v>16330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IFERROR(__xludf.DUMMYFUNCTION("IMPORTRANGE(""https://docs.google.com/spreadsheets/d/1XL5vhW3sbDhbH9Cz0tuDiY8C3ctxq1tqvaCgkFb8cCA/edit?usp=sharing"",""มหาสารคาม!M296"")"),190419)</f>
        <v>190419</v>
      </c>
      <c r="O401" s="373">
        <f ca="1">+IF(L401&gt;0,N401*100/L401,0)</f>
        <v>81.278384838654603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IFERROR(__xludf.DUMMYFUNCTION("IMPORTRANGE(""https://docs.google.com/spreadsheets/d/1XL5vhW3sbDhbH9Cz0tuDiY8C3ctxq1tqvaCgkFb8cCA/edit?usp=sharing"",""มหาสารคาม!M299"")"),190419)</f>
        <v>190419</v>
      </c>
      <c r="O404" s="169">
        <f t="shared" ca="1" si="112"/>
        <v>81.278384838654603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IFERROR(__xludf.DUMMYFUNCTION("IMPORTRANGE(""https://docs.google.com/spreadsheets/d/1XL5vhW3sbDhbH9Cz0tuDiY8C3ctxq1tqvaCgkFb8cCA/edit?usp=sharing"",""มหาสารคาม!M301"")"),190419)</f>
        <v>190419</v>
      </c>
      <c r="O406" s="169">
        <f t="shared" ca="1" si="112"/>
        <v>81.278384838654603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IFERROR(__xludf.DUMMYFUNCTION("IMPORTRANGE(""https://docs.google.com/spreadsheets/d/1XL5vhW3sbDhbH9Cz0tuDiY8C3ctxq1tqvaCgkFb8cCA/edit?usp=sharing"",""มหาสารคาม!M302"")"),123799)</f>
        <v>123799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IFERROR(__xludf.DUMMYFUNCTION("IMPORTRANGE(""https://docs.google.com/spreadsheets/d/1XL5vhW3sbDhbH9Cz0tuDiY8C3ctxq1tqvaCgkFb8cCA/edit?usp=sharing"",""มหาสารคาม!M303"")"),54400)</f>
        <v>54400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IFERROR(__xludf.DUMMYFUNCTION("IMPORTRANGE(""https://docs.google.com/spreadsheets/d/1XL5vhW3sbDhbH9Cz0tuDiY8C3ctxq1tqvaCgkFb8cCA/edit?usp=sharing"",""มหาสารคาม!M305"")"),12220)</f>
        <v>12220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IFERROR(__xludf.DUMMYFUNCTION("IMPORTRANGE(""https://docs.google.com/spreadsheets/d/1XL5vhW3sbDhbH9Cz0tuDiY8C3ctxq1tqvaCgkFb8cCA/edit?usp=sharing"",""มหาสารคาม!J325"")"),60)</f>
        <v>60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IFERROR(__xludf.DUMMYFUNCTION("IMPORTRANGE(""https://docs.google.com/spreadsheets/d/1XL5vhW3sbDhbH9Cz0tuDiY8C3ctxq1tqvaCgkFb8cCA/edit?usp=sharing"",""มหาสารคาม!L330"")"),121700)</f>
        <v>121700</v>
      </c>
      <c r="M435" s="412"/>
      <c r="N435" s="412">
        <f ca="1">IFERROR(__xludf.DUMMYFUNCTION("IMPORTRANGE(""https://docs.google.com/spreadsheets/d/1XL5vhW3sbDhbH9Cz0tuDiY8C3ctxq1tqvaCgkFb8cCA/edit?usp=sharing"",""มหาสารคาม!M330"")"),84497)</f>
        <v>84497</v>
      </c>
      <c r="O435" s="412">
        <f t="shared" ref="O435:O439" ca="1" si="114">+IF(L435&gt;0,N435*100/L435,0)</f>
        <v>69.430566967953979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IFERROR(__xludf.DUMMYFUNCTION("IMPORTRANGE(""https://docs.google.com/spreadsheets/d/1XL5vhW3sbDhbH9Cz0tuDiY8C3ctxq1tqvaCgkFb8cCA/edit?usp=sharing"",""มหาสารคาม!L332"")"),121700)</f>
        <v>121700</v>
      </c>
      <c r="M437" s="165"/>
      <c r="N437" s="169">
        <f ca="1">IFERROR(__xludf.DUMMYFUNCTION("IMPORTRANGE(""https://docs.google.com/spreadsheets/d/1XL5vhW3sbDhbH9Cz0tuDiY8C3ctxq1tqvaCgkFb8cCA/edit?usp=sharing"",""มหาสารคาม!M332"")"),84497)</f>
        <v>84497</v>
      </c>
      <c r="O437" s="169">
        <f t="shared" ca="1" si="114"/>
        <v>69.430566967953979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IFERROR(__xludf.DUMMYFUNCTION("IMPORTRANGE(""https://docs.google.com/spreadsheets/d/1XL5vhW3sbDhbH9Cz0tuDiY8C3ctxq1tqvaCgkFb8cCA/edit?usp=sharing"",""มหาสารคาม!L334"")"),121700)</f>
        <v>121700</v>
      </c>
      <c r="M439" s="169"/>
      <c r="N439" s="169">
        <f ca="1">IFERROR(__xludf.DUMMYFUNCTION("IMPORTRANGE(""https://docs.google.com/spreadsheets/d/1XL5vhW3sbDhbH9Cz0tuDiY8C3ctxq1tqvaCgkFb8cCA/edit?usp=sharing"",""มหาสารคาม!M334"")"),84497)</f>
        <v>84497</v>
      </c>
      <c r="O439" s="169">
        <f t="shared" ca="1" si="114"/>
        <v>69.430566967953979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IFERROR(__xludf.DUMMYFUNCTION("IMPORTRANGE(""https://docs.google.com/spreadsheets/d/1XL5vhW3sbDhbH9Cz0tuDiY8C3ctxq1tqvaCgkFb8cCA/edit?usp=sharing"",""มหาสารคาม!M335"")"),50200)</f>
        <v>50200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IFERROR(__xludf.DUMMYFUNCTION("IMPORTRANGE(""https://docs.google.com/spreadsheets/d/1XL5vhW3sbDhbH9Cz0tuDiY8C3ctxq1tqvaCgkFb8cCA/edit?usp=sharing"",""มหาสารคาม!M338"")"),34297)</f>
        <v>34297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IFERROR(__xludf.DUMMYFUNCTION("IMPORTRANGE(""https://docs.google.com/spreadsheets/d/1XL5vhW3sbDhbH9Cz0tuDiY8C3ctxq1tqvaCgkFb8cCA/edit?usp=sharing"",""มหาสารคาม!J349"")"),0)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IFERROR(__xludf.DUMMYFUNCTION("IMPORTRANGE(""https://docs.google.com/spreadsheets/d/1XL5vhW3sbDhbH9Cz0tuDiY8C3ctxq1tqvaCgkFb8cCA/edit?usp=sharing"",""มหาสารคาม!J350"")"),24987)</f>
        <v>24987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IFERROR(__xludf.DUMMYFUNCTION("IMPORTRANGE(""https://docs.google.com/spreadsheets/d/1XL5vhW3sbDhbH9Cz0tuDiY8C3ctxq1tqvaCgkFb8cCA/edit?usp=sharing"",""มหาสารคาม!L350"")"),209937)</f>
        <v>209937</v>
      </c>
      <c r="M455" s="373"/>
      <c r="N455" s="373">
        <f ca="1">IFERROR(__xludf.DUMMYFUNCTION("IMPORTRANGE(""https://docs.google.com/spreadsheets/d/1XL5vhW3sbDhbH9Cz0tuDiY8C3ctxq1tqvaCgkFb8cCA/edit?usp=sharing"",""มหาสารคาม!M350"")"),101259.14)</f>
        <v>101259.14</v>
      </c>
      <c r="O455" s="373">
        <f t="shared" ref="O455:O459" ca="1" si="116">+IF(L455&gt;0,N455*100/L455,0)</f>
        <v>48.233108027646388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IFERROR(__xludf.DUMMYFUNCTION("IMPORTRANGE(""https://docs.google.com/spreadsheets/d/1XL5vhW3sbDhbH9Cz0tuDiY8C3ctxq1tqvaCgkFb8cCA/edit?usp=sharing"",""มหาสารคาม!L352"")"),209937)</f>
        <v>209937</v>
      </c>
      <c r="M457" s="165"/>
      <c r="N457" s="169">
        <f ca="1">IFERROR(__xludf.DUMMYFUNCTION("IMPORTRANGE(""https://docs.google.com/spreadsheets/d/1XL5vhW3sbDhbH9Cz0tuDiY8C3ctxq1tqvaCgkFb8cCA/edit?usp=sharing"",""มหาสารคาม!M352"")"),101259.14)</f>
        <v>101259.14</v>
      </c>
      <c r="O457" s="169">
        <f t="shared" ca="1" si="116"/>
        <v>48.233108027646388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IFERROR(__xludf.DUMMYFUNCTION("IMPORTRANGE(""https://docs.google.com/spreadsheets/d/1XL5vhW3sbDhbH9Cz0tuDiY8C3ctxq1tqvaCgkFb8cCA/edit?usp=sharing"",""มหาสารคาม!L354"")"),209937)</f>
        <v>209937</v>
      </c>
      <c r="M459" s="169"/>
      <c r="N459" s="169">
        <f ca="1">IFERROR(__xludf.DUMMYFUNCTION("IMPORTRANGE(""https://docs.google.com/spreadsheets/d/1XL5vhW3sbDhbH9Cz0tuDiY8C3ctxq1tqvaCgkFb8cCA/edit?usp=sharing"",""มหาสารคาม!M354"")"),101259.14)</f>
        <v>101259.14</v>
      </c>
      <c r="O459" s="169">
        <f t="shared" ca="1" si="116"/>
        <v>48.233108027646388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IFERROR(__xludf.DUMMYFUNCTION("IMPORTRANGE(""https://docs.google.com/spreadsheets/d/1XL5vhW3sbDhbH9Cz0tuDiY8C3ctxq1tqvaCgkFb8cCA/edit?usp=sharing"",""มหาสารคาม!M358"")"),101259.14)</f>
        <v>101259.14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IFERROR(__xludf.DUMMYFUNCTION("IMPORTRANGE(""https://docs.google.com/spreadsheets/d/1XL5vhW3sbDhbH9Cz0tuDiY8C3ctxq1tqvaCgkFb8cCA/edit?usp=sharing"",""มหาสารคาม!J359"")"),24987)</f>
        <v>24987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IFERROR(__xludf.DUMMYFUNCTION("IMPORTRANGE(""https://docs.google.com/spreadsheets/d/1XL5vhW3sbDhbH9Cz0tuDiY8C3ctxq1tqvaCgkFb8cCA/edit?usp=sharing"",""มหาสารคาม!J376"")"),24987)</f>
        <v>24987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IFERROR(__xludf.DUMMYFUNCTION("IMPORTRANGE(""https://docs.google.com/spreadsheets/d/1XL5vhW3sbDhbH9Cz0tuDiY8C3ctxq1tqvaCgkFb8cCA/edit?usp=sharing"",""มหาสารคาม!J377"")"),3166)</f>
        <v>3166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IFERROR(__xludf.DUMMYFUNCTION("IMPORTRANGE(""https://docs.google.com/spreadsheets/d/1XL5vhW3sbDhbH9Cz0tuDiY8C3ctxq1tqvaCgkFb8cCA/edit?usp=sharing"",""มหาสารคาม!J380"")"),533)</f>
        <v>533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IFERROR(__xludf.DUMMYFUNCTION("IMPORTRANGE(""https://docs.google.com/spreadsheets/d/1XL5vhW3sbDhbH9Cz0tuDiY8C3ctxq1tqvaCgkFb8cCA/edit?usp=sharing"",""มหาสารคาม!J381"")"),69)</f>
        <v>69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IFERROR(__xludf.DUMMYFUNCTION("IMPORTRANGE(""https://docs.google.com/spreadsheets/d/1XL5vhW3sbDhbH9Cz0tuDiY8C3ctxq1tqvaCgkFb8cCA/edit?usp=sharing"",""มหาสารคาม!J382"")"),1255)</f>
        <v>1255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IFERROR(__xludf.DUMMYFUNCTION("IMPORTRANGE(""https://docs.google.com/spreadsheets/d/1XL5vhW3sbDhbH9Cz0tuDiY8C3ctxq1tqvaCgkFb8cCA/edit?usp=sharing"",""มหาสารคาม!J383"")"),148)</f>
        <v>148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IFERROR(__xludf.DUMMYFUNCTION("IMPORTRANGE(""https://docs.google.com/spreadsheets/d/1XL5vhW3sbDhbH9Cz0tuDiY8C3ctxq1tqvaCgkFb8cCA/edit?usp=sharing"",""มหาสารคาม!J384"")"),1203)</f>
        <v>1203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IFERROR(__xludf.DUMMYFUNCTION("IMPORTRANGE(""https://docs.google.com/spreadsheets/d/1XL5vhW3sbDhbH9Cz0tuDiY8C3ctxq1tqvaCgkFb8cCA/edit?usp=sharing"",""มหาสารคาม!J385"")"),143)</f>
        <v>143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IFERROR(__xludf.DUMMYFUNCTION("IMPORTRANGE(""https://docs.google.com/spreadsheets/d/1XL5vhW3sbDhbH9Cz0tuDiY8C3ctxq1tqvaCgkFb8cCA/edit?usp=sharing"",""มหาสารคาม!J386"")"),52)</f>
        <v>52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IFERROR(__xludf.DUMMYFUNCTION("IMPORTRANGE(""https://docs.google.com/spreadsheets/d/1XL5vhW3sbDhbH9Cz0tuDiY8C3ctxq1tqvaCgkFb8cCA/edit?usp=sharing"",""มหาสารคาม!J387"")"),5)</f>
        <v>5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IFERROR(__xludf.DUMMYFUNCTION("IMPORTRANGE(""https://docs.google.com/spreadsheets/d/1XL5vhW3sbDhbH9Cz0tuDiY8C3ctxq1tqvaCgkFb8cCA/edit?usp=sharing"",""มหาสารคาม!J392"")"),320)</f>
        <v>320</v>
      </c>
      <c r="K497" s="444">
        <f t="shared" ca="1" si="117"/>
        <v>78.431372549019613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IFERROR(__xludf.DUMMYFUNCTION("IMPORTRANGE(""https://docs.google.com/spreadsheets/d/1XL5vhW3sbDhbH9Cz0tuDiY8C3ctxq1tqvaCgkFb8cCA/edit?usp=sharing"",""มหาสารคาม!J393"")"),320)</f>
        <v>320</v>
      </c>
      <c r="K498" s="202">
        <f t="shared" ca="1" si="117"/>
        <v>78.431372549019613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IFERROR(__xludf.DUMMYFUNCTION("IMPORTRANGE(""https://docs.google.com/spreadsheets/d/1XL5vhW3sbDhbH9Cz0tuDiY8C3ctxq1tqvaCgkFb8cCA/edit?usp=sharing"",""มหาสารคาม!J394"")"),26)</f>
        <v>26</v>
      </c>
      <c r="K499" s="202">
        <f t="shared" ca="1" si="117"/>
        <v>72.222222222222229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IFERROR(__xludf.DUMMYFUNCTION("IMPORTRANGE(""https://docs.google.com/spreadsheets/d/1XL5vhW3sbDhbH9Cz0tuDiY8C3ctxq1tqvaCgkFb8cCA/edit?usp=sharing"",""มหาสารคาม!J395"")"),311)</f>
        <v>311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IFERROR(__xludf.DUMMYFUNCTION("IMPORTRANGE(""https://docs.google.com/spreadsheets/d/1XL5vhW3sbDhbH9Cz0tuDiY8C3ctxq1tqvaCgkFb8cCA/edit?usp=sharing"",""มหาสารคาม!J396"")"),25)</f>
        <v>25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IFERROR(__xludf.DUMMYFUNCTION("IMPORTRANGE(""https://docs.google.com/spreadsheets/d/1XL5vhW3sbDhbH9Cz0tuDiY8C3ctxq1tqvaCgkFb8cCA/edit?usp=sharing"",""มหาสารคาม!J397"")"),311)</f>
        <v>311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IFERROR(__xludf.DUMMYFUNCTION("IMPORTRANGE(""https://docs.google.com/spreadsheets/d/1XL5vhW3sbDhbH9Cz0tuDiY8C3ctxq1tqvaCgkFb8cCA/edit?usp=sharing"",""มหาสารคาม!J398"")"),25)</f>
        <v>25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IFERROR(__xludf.DUMMYFUNCTION("IMPORTRANGE(""https://docs.google.com/spreadsheets/d/1XL5vhW3sbDhbH9Cz0tuDiY8C3ctxq1tqvaCgkFb8cCA/edit?usp=sharing"",""มหาสารคาม!J403"")"),9)</f>
        <v>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IFERROR(__xludf.DUMMYFUNCTION("IMPORTRANGE(""https://docs.google.com/spreadsheets/d/1XL5vhW3sbDhbH9Cz0tuDiY8C3ctxq1tqvaCgkFb8cCA/edit?usp=sharing"",""มหาสารคาม!J405"")"),9)</f>
        <v>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IFERROR(__xludf.DUMMYFUNCTION("IMPORTRANGE(""https://docs.google.com/spreadsheets/d/1XL5vhW3sbDhbH9Cz0tuDiY8C3ctxq1tqvaCgkFb8cCA/edit?usp=sharing"",""มหาสารคาม!I412"")"),0)</f>
        <v>0</v>
      </c>
      <c r="J517" s="285">
        <f ca="1">IFERROR(__xludf.DUMMYFUNCTION("IMPORTRANGE(""https://docs.google.com/spreadsheets/d/1XL5vhW3sbDhbH9Cz0tuDiY8C3ctxq1tqvaCgkFb8cCA/edit?usp=sharing"",""มหาสารคาม!J412"")"),0)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IFERROR(__xludf.DUMMYFUNCTION("IMPORTRANGE(""https://docs.google.com/spreadsheets/d/1XL5vhW3sbDhbH9Cz0tuDiY8C3ctxq1tqvaCgkFb8cCA/edit?usp=sharing"",""มหาสารคาม!I413"")"),0)</f>
        <v>0</v>
      </c>
      <c r="J518" s="285">
        <f ca="1">IFERROR(__xludf.DUMMYFUNCTION("IMPORTRANGE(""https://docs.google.com/spreadsheets/d/1XL5vhW3sbDhbH9Cz0tuDiY8C3ctxq1tqvaCgkFb8cCA/edit?usp=sharing"",""มหาสารคาม!J413"")"),0)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IFERROR(__xludf.DUMMYFUNCTION("IMPORTRANGE(""https://docs.google.com/spreadsheets/d/1XL5vhW3sbDhbH9Cz0tuDiY8C3ctxq1tqvaCgkFb8cCA/edit?usp=sharing"",""มหาสารคาม!J418"")"),8)</f>
        <v>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IFERROR(__xludf.DUMMYFUNCTION("IMPORTRANGE(""https://docs.google.com/spreadsheets/d/1XL5vhW3sbDhbH9Cz0tuDiY8C3ctxq1tqvaCgkFb8cCA/edit?usp=sharing"",""มหาสารคาม!I420"")"),8)</f>
        <v>8</v>
      </c>
      <c r="J525" s="285">
        <f ca="1">IFERROR(__xludf.DUMMYFUNCTION("IMPORTRANGE(""https://docs.google.com/spreadsheets/d/1XL5vhW3sbDhbH9Cz0tuDiY8C3ctxq1tqvaCgkFb8cCA/edit?usp=sharing"",""มหาสารคาม!J420"")"),8)</f>
        <v>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IFERROR(__xludf.DUMMYFUNCTION("IMPORTRANGE(""https://docs.google.com/spreadsheets/d/1XL5vhW3sbDhbH9Cz0tuDiY8C3ctxq1tqvaCgkFb8cCA/edit?usp=sharing"",""มหาสารคาม!I421"")"),1)</f>
        <v>1</v>
      </c>
      <c r="J526" s="285">
        <f ca="1">IFERROR(__xludf.DUMMYFUNCTION("IMPORTRANGE(""https://docs.google.com/spreadsheets/d/1XL5vhW3sbDhbH9Cz0tuDiY8C3ctxq1tqvaCgkFb8cCA/edit?usp=sharing"",""มหาสารคาม!J421"")"),1)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IFERROR(__xludf.DUMMYFUNCTION("IMPORTRANGE(""https://docs.google.com/spreadsheets/d/1XL5vhW3sbDhbH9Cz0tuDiY8C3ctxq1tqvaCgkFb8cCA/edit?usp=sharing"",""มหาสารคาม!J426"")"),8)</f>
        <v>8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IFERROR(__xludf.DUMMYFUNCTION("IMPORTRANGE(""https://docs.google.com/spreadsheets/d/1XL5vhW3sbDhbH9Cz0tuDiY8C3ctxq1tqvaCgkFb8cCA/edit?usp=sharing"",""มหาสารคาม!M428"")"),27480)</f>
        <v>27480</v>
      </c>
      <c r="O533" s="412">
        <f t="shared" ref="O533:O537" ca="1" si="118">+IF(L533&gt;0,N533*100/L533,0)</f>
        <v>80.023296447291784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IFERROR(__xludf.DUMMYFUNCTION("IMPORTRANGE(""https://docs.google.com/spreadsheets/d/1XL5vhW3sbDhbH9Cz0tuDiY8C3ctxq1tqvaCgkFb8cCA/edit?usp=sharing"",""มหาสารคาม!M430"")"),27480)</f>
        <v>27480</v>
      </c>
      <c r="O535" s="169">
        <f t="shared" ca="1" si="118"/>
        <v>80.023296447291784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IFERROR(__xludf.DUMMYFUNCTION("IMPORTRANGE(""https://docs.google.com/spreadsheets/d/1XL5vhW3sbDhbH9Cz0tuDiY8C3ctxq1tqvaCgkFb8cCA/edit?usp=sharing"",""มหาสารคาม!M432"")"),27480)</f>
        <v>27480</v>
      </c>
      <c r="O537" s="169">
        <f t="shared" ca="1" si="118"/>
        <v>80.023296447291784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IFERROR(__xludf.DUMMYFUNCTION("IMPORTRANGE(""https://docs.google.com/spreadsheets/d/1XL5vhW3sbDhbH9Cz0tuDiY8C3ctxq1tqvaCgkFb8cCA/edit?usp=sharing"",""มหาสารคาม!M436"")"),8870)</f>
        <v>8870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IFERROR(__xludf.DUMMYFUNCTION("IMPORTRANGE(""https://docs.google.com/spreadsheets/d/1XL5vhW3sbDhbH9Cz0tuDiY8C3ctxq1tqvaCgkFb8cCA/edit?usp=sharing"",""มหาสารคาม!J459"")"),2454)</f>
        <v>2454</v>
      </c>
      <c r="K564" s="372">
        <f ca="1">IF(I564&gt;0,J564*100/I564,0)</f>
        <v>258.31578947368422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IFERROR(__xludf.DUMMYFUNCTION("IMPORTRANGE(""https://docs.google.com/spreadsheets/d/1XL5vhW3sbDhbH9Cz0tuDiY8C3ctxq1tqvaCgkFb8cCA/edit?usp=sharing"",""มหาสารคาม!M459"")"),126080)</f>
        <v>126080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IFERROR(__xludf.DUMMYFUNCTION("IMPORTRANGE(""https://docs.google.com/spreadsheets/d/1XL5vhW3sbDhbH9Cz0tuDiY8C3ctxq1tqvaCgkFb8cCA/edit?usp=sharing"",""มหาสารคาม!M461"")"),126080)</f>
        <v>126080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IFERROR(__xludf.DUMMYFUNCTION("IMPORTRANGE(""https://docs.google.com/spreadsheets/d/1XL5vhW3sbDhbH9Cz0tuDiY8C3ctxq1tqvaCgkFb8cCA/edit?usp=sharing"",""มหาสารคาม!M463"")"),126080)</f>
        <v>126080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IFERROR(__xludf.DUMMYFUNCTION("IMPORTRANGE(""https://docs.google.com/spreadsheets/d/1XL5vhW3sbDhbH9Cz0tuDiY8C3ctxq1tqvaCgkFb8cCA/edit?usp=sharing"",""มหาสารคาม!M467"")"),27080)</f>
        <v>27080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IFERROR(__xludf.DUMMYFUNCTION("IMPORTRANGE(""https://docs.google.com/spreadsheets/d/1XL5vhW3sbDhbH9Cz0tuDiY8C3ctxq1tqvaCgkFb8cCA/edit?usp=sharing"",""มหาสารคาม!J468"")"),2454)</f>
        <v>2454</v>
      </c>
      <c r="K573" s="202">
        <f ca="1">IF(I573&gt;0,J573*100/I573,0)</f>
        <v>258.31578947368422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IFERROR(__xludf.DUMMYFUNCTION("IMPORTRANGE(""https://docs.google.com/spreadsheets/d/1XL5vhW3sbDhbH9Cz0tuDiY8C3ctxq1tqvaCgkFb8cCA/edit?usp=sharing"",""มหาสารคาม!J471"")"),116)</f>
        <v>116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IFERROR(__xludf.DUMMYFUNCTION("IMPORTRANGE(""https://docs.google.com/spreadsheets/d/1XL5vhW3sbDhbH9Cz0tuDiY8C3ctxq1tqvaCgkFb8cCA/edit?usp=sharing"",""มหาสารคาม!J472"")"),2338)</f>
        <v>2338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8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IFERROR(__xludf.DUMMYFUNCTION("IMPORTRANGE(""https://docs.google.com/spreadsheets/d/1XL5vhW3sbDhbH9Cz0tuDiY8C3ctxq1tqvaCgkFb8cCA/edit?usp=sharing"",""มหาสารคาม!L494"")"),15300)</f>
        <v>15300</v>
      </c>
      <c r="M599" s="165"/>
      <c r="N599" s="169">
        <f ca="1">IFERROR(__xludf.DUMMYFUNCTION("IMPORTRANGE(""https://docs.google.com/spreadsheets/d/1XL5vhW3sbDhbH9Cz0tuDiY8C3ctxq1tqvaCgkFb8cCA/edit?usp=sharing"",""มหาสารคาม!M494"")"),6200)</f>
        <v>6200</v>
      </c>
      <c r="O599" s="169">
        <f t="shared" ca="1" si="126"/>
        <v>40.522875816993462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IFERROR(__xludf.DUMMYFUNCTION("IMPORTRANGE(""https://docs.google.com/spreadsheets/d/1XL5vhW3sbDhbH9Cz0tuDiY8C3ctxq1tqvaCgkFb8cCA/edit?usp=sharing"",""มหาสารคาม!L496"")"),15300)</f>
        <v>15300</v>
      </c>
      <c r="M601" s="169"/>
      <c r="N601" s="169">
        <f ca="1">IFERROR(__xludf.DUMMYFUNCTION("IMPORTRANGE(""https://docs.google.com/spreadsheets/d/1XL5vhW3sbDhbH9Cz0tuDiY8C3ctxq1tqvaCgkFb8cCA/edit?usp=sharing"",""มหาสารคาม!M496"")"),6200)</f>
        <v>6200</v>
      </c>
      <c r="O601" s="169">
        <f t="shared" ca="1" si="126"/>
        <v>40.522875816993462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IFERROR(__xludf.DUMMYFUNCTION("IMPORTRANGE(""https://docs.google.com/spreadsheets/d/1XL5vhW3sbDhbH9Cz0tuDiY8C3ctxq1tqvaCgkFb8cCA/edit?usp=sharing"",""มหาสารคาม!J166"")"),0)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IFERROR(__xludf.DUMMYFUNCTION("IMPORTRANGE(""https://docs.google.com/spreadsheets/d/1XL5vhW3sbDhbH9Cz0tuDiY8C3ctxq1tqvaCgkFb8cCA/edit?usp=sharing"",""มหาสารคาม!J166"")"),0)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2">
        <f ca="1">IFERROR(__xludf.DUMMYFUNCTION("IMPORTRANGE(""https://docs.google.com/spreadsheets/d/1XL5vhW3sbDhbH9Cz0tuDiY8C3ctxq1tqvaCgkFb8cCA/edit?usp=sharing"",""มหาสารคาม!J523"")"),13280270.09)</f>
        <v>13280270.09</v>
      </c>
      <c r="K628" s="343">
        <f t="shared" ref="K628:K635" ca="1" si="129">IF(I628&gt;0,J628*100/I628,0)</f>
        <v>89.217441746227891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IFERROR(__xludf.DUMMYFUNCTION("IMPORTRANGE(""https://docs.google.com/spreadsheets/d/1XL5vhW3sbDhbH9Cz0tuDiY8C3ctxq1tqvaCgkFb8cCA/edit?usp=sharing"",""มหาสารคาม!I524"")"),1487)</f>
        <v>1487</v>
      </c>
      <c r="J629" s="342">
        <f ca="1">IFERROR(__xludf.DUMMYFUNCTION("IMPORTRANGE(""https://docs.google.com/spreadsheets/d/1XL5vhW3sbDhbH9Cz0tuDiY8C3ctxq1tqvaCgkFb8cCA/edit?usp=sharing"",""มหาสารคาม!J524"")"),1210)</f>
        <v>1210</v>
      </c>
      <c r="K629" s="343">
        <f t="shared" ca="1" si="129"/>
        <v>81.371889710827162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2">
        <f ca="1">IFERROR(__xludf.DUMMYFUNCTION("IMPORTRANGE(""https://docs.google.com/spreadsheets/d/1XL5vhW3sbDhbH9Cz0tuDiY8C3ctxq1tqvaCgkFb8cCA/edit?usp=sharing"",""มหาสารคาม!J525"")"),2179882.24)</f>
        <v>2179882.2400000002</v>
      </c>
      <c r="K630" s="343">
        <f t="shared" ca="1" si="129"/>
        <v>32.833423876641696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IFERROR(__xludf.DUMMYFUNCTION("IMPORTRANGE(""https://docs.google.com/spreadsheets/d/1XL5vhW3sbDhbH9Cz0tuDiY8C3ctxq1tqvaCgkFb8cCA/edit?usp=sharing"",""มหาสารคาม!I526"")"),300)</f>
        <v>300</v>
      </c>
      <c r="J631" s="342">
        <f ca="1">IFERROR(__xludf.DUMMYFUNCTION("IMPORTRANGE(""https://docs.google.com/spreadsheets/d/1XL5vhW3sbDhbH9Cz0tuDiY8C3ctxq1tqvaCgkFb8cCA/edit?usp=sharing"",""มหาสารคาม!J526"")"),171)</f>
        <v>171</v>
      </c>
      <c r="K631" s="343">
        <f t="shared" ca="1" si="129"/>
        <v>57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IFERROR(__xludf.DUMMYFUNCTION("IMPORTRANGE(""https://docs.google.com/spreadsheets/d/1XL5vhW3sbDhbH9Cz0tuDiY8C3ctxq1tqvaCgkFb8cCA/edit?usp=sharing"",""มหาสารคาม!I527"")"),0)</f>
        <v>0</v>
      </c>
      <c r="J632" s="342">
        <f ca="1">IFERROR(__xludf.DUMMYFUNCTION("IMPORTRANGE(""https://docs.google.com/spreadsheets/d/1XL5vhW3sbDhbH9Cz0tuDiY8C3ctxq1tqvaCgkFb8cCA/edit?usp=sharing"",""มหาสารคาม!J527"")"),0)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IFERROR(__xludf.DUMMYFUNCTION("IMPORTRANGE(""https://docs.google.com/spreadsheets/d/1XL5vhW3sbDhbH9Cz0tuDiY8C3ctxq1tqvaCgkFb8cCA/edit?usp=sharing"",""มหาสารคาม!I528"")"),0)</f>
        <v>0</v>
      </c>
      <c r="J633" s="342">
        <f ca="1">IFERROR(__xludf.DUMMYFUNCTION("IMPORTRANGE(""https://docs.google.com/spreadsheets/d/1XL5vhW3sbDhbH9Cz0tuDiY8C3ctxq1tqvaCgkFb8cCA/edit?usp=sharing"",""มหาสารคาม!J528"")"),0)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2">
        <f ca="1">IFERROR(__xludf.DUMMYFUNCTION("IMPORTRANGE(""https://docs.google.com/spreadsheets/d/1XL5vhW3sbDhbH9Cz0tuDiY8C3ctxq1tqvaCgkFb8cCA/edit?usp=sharing"",""มหาสารคาม!J529"")"),13600000)</f>
        <v>13600000</v>
      </c>
      <c r="K634" s="343">
        <f t="shared" ca="1" si="129"/>
        <v>68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IFERROR(__xludf.DUMMYFUNCTION("IMPORTRANGE(""https://docs.google.com/spreadsheets/d/1XL5vhW3sbDhbH9Cz0tuDiY8C3ctxq1tqvaCgkFb8cCA/edit?usp=sharing"",""มหาสารคาม!I530"")"),400)</f>
        <v>400</v>
      </c>
      <c r="J635" s="505">
        <f ca="1">IFERROR(__xludf.DUMMYFUNCTION("IMPORTRANGE(""https://docs.google.com/spreadsheets/d/1XL5vhW3sbDhbH9Cz0tuDiY8C3ctxq1tqvaCgkFb8cCA/edit?usp=sharing"",""มหาสารคาม!J530"")"),272)</f>
        <v>272</v>
      </c>
      <c r="K635" s="487">
        <f t="shared" ca="1" si="129"/>
        <v>68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IFERROR(__xludf.DUMMYFUNCTION("IMPORTRANGE(""https://docs.google.com/spreadsheets/d/1XL5vhW3sbDhbH9Cz0tuDiY8C3ctxq1tqvaCgkFb8cCA/edit#gid=346597447"",""มหาสารคาม!J541"")"),0)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IFERROR(__xludf.DUMMYFUNCTION("IMPORTRANGE(""https://docs.google.com/spreadsheets/d/1XL5vhW3sbDhbH9Cz0tuDiY8C3ctxq1tqvaCgkFb8cCA/edit#gid=346597447"",""มหาสารคาม!J542"")"),0)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IFERROR(__xludf.DUMMYFUNCTION("IMPORTRANGE(""https://docs.google.com/spreadsheets/d/1XL5vhW3sbDhbH9Cz0tuDiY8C3ctxq1tqvaCgkFb8cCA/edit#gid=346597447"",""มหาสารคาม!I543"")"),0)</f>
        <v>0</v>
      </c>
      <c r="J648" s="586">
        <f ca="1">IFERROR(__xludf.DUMMYFUNCTION("IMPORTRANGE(""https://docs.google.com/spreadsheets/d/1XL5vhW3sbDhbH9Cz0tuDiY8C3ctxq1tqvaCgkFb8cCA/edit#gid=346597447"",""มหาสารคาม!J543"")"),0)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IFERROR(__xludf.DUMMYFUNCTION("IMPORTRANGE(""https://docs.google.com/spreadsheets/d/1XL5vhW3sbDhbH9Cz0tuDiY8C3ctxq1tqvaCgkFb8cCA/edit#gid=346597447"",""มหาสารคาม!L543"")"),0)</f>
        <v>0</v>
      </c>
      <c r="M648" s="571"/>
      <c r="N648" s="588">
        <f ca="1">IFERROR(__xludf.DUMMYFUNCTION("IMPORTRANGE(""https://docs.google.com/spreadsheets/d/1XL5vhW3sbDhbH9Cz0tuDiY8C3ctxq1tqvaCgkFb8cCA/edit#gid=346597447"",""มหาสารคาม!M543"")"),0)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IFERROR(__xludf.DUMMYFUNCTION("IMPORTRANGE(""https://docs.google.com/spreadsheets/d/1XL5vhW3sbDhbH9Cz0tuDiY8C3ctxq1tqvaCgkFb8cCA/edit#gid=346597447"",""มหาสารคาม!I544"")"),0)</f>
        <v>0</v>
      </c>
      <c r="J649" s="586">
        <f ca="1">IFERROR(__xludf.DUMMYFUNCTION("IMPORTRANGE(""https://docs.google.com/spreadsheets/d/1XL5vhW3sbDhbH9Cz0tuDiY8C3ctxq1tqvaCgkFb8cCA/edit#gid=346597447"",""มหาสารคาม!J544"")"),0)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IFERROR(__xludf.DUMMYFUNCTION("IMPORTRANGE(""https://docs.google.com/spreadsheets/d/1XL5vhW3sbDhbH9Cz0tuDiY8C3ctxq1tqvaCgkFb8cCA/edit#gid=346597447"",""มหาสารคาม!L544"")"),0)</f>
        <v>0</v>
      </c>
      <c r="M649" s="571"/>
      <c r="N649" s="588">
        <f ca="1">IFERROR(__xludf.DUMMYFUNCTION("IMPORTRANGE(""https://docs.google.com/spreadsheets/d/1XL5vhW3sbDhbH9Cz0tuDiY8C3ctxq1tqvaCgkFb8cCA/edit#gid=346597447"",""มหาสารคาม!M544"")"),0)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IFERROR(__xludf.DUMMYFUNCTION("IMPORTRANGE(""https://docs.google.com/spreadsheets/d/1XL5vhW3sbDhbH9Cz0tuDiY8C3ctxq1tqvaCgkFb8cCA/edit#gid=346597447"",""มหาสารคาม!I545"")"),0)</f>
        <v>0</v>
      </c>
      <c r="J650" s="586">
        <f ca="1">IFERROR(__xludf.DUMMYFUNCTION("IMPORTRANGE(""https://docs.google.com/spreadsheets/d/1XL5vhW3sbDhbH9Cz0tuDiY8C3ctxq1tqvaCgkFb8cCA/edit#gid=346597447"",""มหาสารคาม!J545"")"),0)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IFERROR(__xludf.DUMMYFUNCTION("IMPORTRANGE(""https://docs.google.com/spreadsheets/d/1XL5vhW3sbDhbH9Cz0tuDiY8C3ctxq1tqvaCgkFb8cCA/edit#gid=346597447"",""มหาสารคาม!L545"")"),0)</f>
        <v>0</v>
      </c>
      <c r="M650" s="571"/>
      <c r="N650" s="588">
        <f ca="1">IFERROR(__xludf.DUMMYFUNCTION("IMPORTRANGE(""https://docs.google.com/spreadsheets/d/1XL5vhW3sbDhbH9Cz0tuDiY8C3ctxq1tqvaCgkFb8cCA/edit#gid=346597447"",""มหาสารคาม!M545"")"),0)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IFERROR(__xludf.DUMMYFUNCTION("IMPORTRANGE(""https://docs.google.com/spreadsheets/d/1XL5vhW3sbDhbH9Cz0tuDiY8C3ctxq1tqvaCgkFb8cCA/edit#gid=346597447"",""มหาสารคาม!I546"")"),0)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IFERROR(__xludf.DUMMYFUNCTION("IMPORTRANGE(""https://docs.google.com/spreadsheets/d/1XL5vhW3sbDhbH9Cz0tuDiY8C3ctxq1tqvaCgkFb8cCA/edit#gid=346597447"",""มหาสารคาม!L546"")"),0)</f>
        <v>0</v>
      </c>
      <c r="M651" s="571"/>
      <c r="N651" s="588">
        <f ca="1">IFERROR(__xludf.DUMMYFUNCTION("IMPORTRANGE(""https://docs.google.com/spreadsheets/d/1XL5vhW3sbDhbH9Cz0tuDiY8C3ctxq1tqvaCgkFb8cCA/edit#gid=346597447"",""มหาสารคาม!M546"")"),0)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IFERROR(__xludf.DUMMYFUNCTION("IMPORTRANGE(""https://docs.google.com/spreadsheets/d/1XL5vhW3sbDhbH9Cz0tuDiY8C3ctxq1tqvaCgkFb8cCA/edit#gid=346597447"",""มหาสารคาม!J547"")"),0)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IFERROR(__xludf.DUMMYFUNCTION("IMPORTRANGE(""https://docs.google.com/spreadsheets/d/1XL5vhW3sbDhbH9Cz0tuDiY8C3ctxq1tqvaCgkFb8cCA/edit#gid=346597447"",""มหาสารคาม!J548"")"),0)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IFERROR(__xludf.DUMMYFUNCTION("IMPORTRANGE(""https://docs.google.com/spreadsheets/d/1XL5vhW3sbDhbH9Cz0tuDiY8C3ctxq1tqvaCgkFb8cCA/edit#gid=346597447"",""มหาสารคาม!J550"")"),0)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IFERROR(__xludf.DUMMYFUNCTION("IMPORTRANGE(""https://docs.google.com/spreadsheets/d/1XL5vhW3sbDhbH9Cz0tuDiY8C3ctxq1tqvaCgkFb8cCA/edit#gid=346597447"",""มหาสารคาม!J551"")"),0)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IFERROR(__xludf.DUMMYFUNCTION("IMPORTRANGE(""https://docs.google.com/spreadsheets/d/1XL5vhW3sbDhbH9Cz0tuDiY8C3ctxq1tqvaCgkFb8cCA/edit#gid=346597447"",""มหาสารคาม!J552"")"),0)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IFERROR(__xludf.DUMMYFUNCTION("IMPORTRANGE(""https://docs.google.com/spreadsheets/d/1XL5vhW3sbDhbH9Cz0tuDiY8C3ctxq1tqvaCgkFb8cCA/edit#gid=346597447"",""มหาสารคาม!J553"")"),0)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IFERROR(__xludf.DUMMYFUNCTION("IMPORTRANGE(""https://docs.google.com/spreadsheets/d/1XL5vhW3sbDhbH9Cz0tuDiY8C3ctxq1tqvaCgkFb8cCA/edit#gid=346597447"",""มหาสารคาม!J554"")"),0)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IFERROR(__xludf.DUMMYFUNCTION("IMPORTRANGE(""https://docs.google.com/spreadsheets/d/1XL5vhW3sbDhbH9Cz0tuDiY8C3ctxq1tqvaCgkFb8cCA/edit#gid=346597447"",""มหาสารคาม!J555"")"),0)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IFERROR(__xludf.DUMMYFUNCTION("IMPORTRANGE(""https://docs.google.com/spreadsheets/d/1XL5vhW3sbDhbH9Cz0tuDiY8C3ctxq1tqvaCgkFb8cCA/edit#gid=346597447"",""มหาสารคาม!J556"")"),0)</f>
        <v>0</v>
      </c>
      <c r="K661" s="587"/>
      <c r="L661" s="572">
        <f ca="1">IFERROR(__xludf.DUMMYFUNCTION("IMPORTRANGE(""https://docs.google.com/spreadsheets/d/1XL5vhW3sbDhbH9Cz0tuDiY8C3ctxq1tqvaCgkFb8cCA/edit#gid=346597447"",""มหาสารคาม!L556"")"),0)</f>
        <v>0</v>
      </c>
      <c r="M661" s="571"/>
      <c r="N661" s="588">
        <f ca="1">IFERROR(__xludf.DUMMYFUNCTION("IMPORTRANGE(""https://docs.google.com/spreadsheets/d/1XL5vhW3sbDhbH9Cz0tuDiY8C3ctxq1tqvaCgkFb8cCA/edit#gid=346597447"",""มหาสารคาม!M556"")"),0)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IFERROR(__xludf.DUMMYFUNCTION("IMPORTRANGE(""https://docs.google.com/spreadsheets/d/1XL5vhW3sbDhbH9Cz0tuDiY8C3ctxq1tqvaCgkFb8cCA/edit#gid=346597447"",""มหาสารคาม!J557"")"),0)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IFERROR(__xludf.DUMMYFUNCTION("IMPORTRANGE(""https://docs.google.com/spreadsheets/d/1XL5vhW3sbDhbH9Cz0tuDiY8C3ctxq1tqvaCgkFb8cCA/edit#gid=346597447"",""มหาสารคาม!I558"")"),0)</f>
        <v>0</v>
      </c>
      <c r="J663" s="586">
        <f ca="1">IFERROR(__xludf.DUMMYFUNCTION("IMPORTRANGE(""https://docs.google.com/spreadsheets/d/1XL5vhW3sbDhbH9Cz0tuDiY8C3ctxq1tqvaCgkFb8cCA/edit#gid=346597447"",""มหาสารคาม!J558"")"),0)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IFERROR(__xludf.DUMMYFUNCTION("IMPORTRANGE(""https://docs.google.com/spreadsheets/d/1XL5vhW3sbDhbH9Cz0tuDiY8C3ctxq1tqvaCgkFb8cCA/edit#gid=346597447"",""มหาสารคาม!I560"")"),0)</f>
        <v>0</v>
      </c>
      <c r="J665" s="586">
        <f ca="1">IFERROR(__xludf.DUMMYFUNCTION("IMPORTRANGE(""https://docs.google.com/spreadsheets/d/1XL5vhW3sbDhbH9Cz0tuDiY8C3ctxq1tqvaCgkFb8cCA/edit#gid=346597447"",""มหาสารคาม!J560"")"),0)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IFERROR(__xludf.DUMMYFUNCTION("IMPORTRANGE(""https://docs.google.com/spreadsheets/d/1XL5vhW3sbDhbH9Cz0tuDiY8C3ctxq1tqvaCgkFb8cCA/edit#gid=346597447"",""มหาสารคาม!L560"")"),0)</f>
        <v>0</v>
      </c>
      <c r="M665" s="571"/>
      <c r="N665" s="588">
        <f ca="1">IFERROR(__xludf.DUMMYFUNCTION("IMPORTRANGE(""https://docs.google.com/spreadsheets/d/1XL5vhW3sbDhbH9Cz0tuDiY8C3ctxq1tqvaCgkFb8cCA/edit#gid=346597447"",""มหาสารคาม!M560"")"),0)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IFERROR(__xludf.DUMMYFUNCTION("IMPORTRANGE(""https://docs.google.com/spreadsheets/d/1XL5vhW3sbDhbH9Cz0tuDiY8C3ctxq1tqvaCgkFb8cCA/edit#gid=346597447"",""มหาสารคาม!J561"")"),0)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IFERROR(__xludf.DUMMYFUNCTION("IMPORTRANGE(""https://docs.google.com/spreadsheets/d/1XL5vhW3sbDhbH9Cz0tuDiY8C3ctxq1tqvaCgkFb8cCA/edit#gid=346597447"",""มหาสารคาม!J562"")"),0)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IFERROR(__xludf.DUMMYFUNCTION("IMPORTRANGE(""https://docs.google.com/spreadsheets/d/1XL5vhW3sbDhbH9Cz0tuDiY8C3ctxq1tqvaCgkFb8cCA/edit#gid=346597447"",""มหาสารคาม!I563"")"),0)</f>
        <v>0</v>
      </c>
      <c r="J668" s="586">
        <f ca="1">IFERROR(__xludf.DUMMYFUNCTION("IMPORTRANGE(""https://docs.google.com/spreadsheets/d/1XL5vhW3sbDhbH9Cz0tuDiY8C3ctxq1tqvaCgkFb8cCA/edit#gid=346597447"",""มหาสารคาม!J563"")"),0)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IFERROR(__xludf.DUMMYFUNCTION("IMPORTRANGE(""https://docs.google.com/spreadsheets/d/1XL5vhW3sbDhbH9Cz0tuDiY8C3ctxq1tqvaCgkFb8cCA/edit#gid=346597447"",""มหาสารคาม!L563"")"),0)</f>
        <v>0</v>
      </c>
      <c r="M668" s="571"/>
      <c r="N668" s="588">
        <f ca="1">IFERROR(__xludf.DUMMYFUNCTION("IMPORTRANGE(""https://docs.google.com/spreadsheets/d/1XL5vhW3sbDhbH9Cz0tuDiY8C3ctxq1tqvaCgkFb8cCA/edit#gid=346597447"",""มหาสารคาม!M563"")"),0)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IFERROR(__xludf.DUMMYFUNCTION("IMPORTRANGE(""https://docs.google.com/spreadsheets/d/1XL5vhW3sbDhbH9Cz0tuDiY8C3ctxq1tqvaCgkFb8cCA/edit#gid=346597447"",""มหาสารคาม!J564"")"),0)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IFERROR(__xludf.DUMMYFUNCTION("IMPORTRANGE(""https://docs.google.com/spreadsheets/d/1XL5vhW3sbDhbH9Cz0tuDiY8C3ctxq1tqvaCgkFb8cCA/edit#gid=346597447"",""มหาสารคาม!J565"")"),0)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IFERROR(__xludf.DUMMYFUNCTION("IMPORTRANGE(""https://docs.google.com/spreadsheets/d/1XL5vhW3sbDhbH9Cz0tuDiY8C3ctxq1tqvaCgkFb8cCA/edit#gid=346597447"",""มหาสารคาม!I566"")"),0)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IFERROR(__xludf.DUMMYFUNCTION("IMPORTRANGE(""https://docs.google.com/spreadsheets/d/1XL5vhW3sbDhbH9Cz0tuDiY8C3ctxq1tqvaCgkFb8cCA/edit#gid=346597447"",""มหาสารคาม!L566"")"),0)</f>
        <v>0</v>
      </c>
      <c r="M671" s="571"/>
      <c r="N671" s="588">
        <f ca="1">IFERROR(__xludf.DUMMYFUNCTION("IMPORTRANGE(""https://docs.google.com/spreadsheets/d/1XL5vhW3sbDhbH9Cz0tuDiY8C3ctxq1tqvaCgkFb8cCA/edit#gid=346597447"",""มหาสารคาม!M566"")"),0)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IFERROR(__xludf.DUMMYFUNCTION("IMPORTRANGE(""https://docs.google.com/spreadsheets/d/1XL5vhW3sbDhbH9Cz0tuDiY8C3ctxq1tqvaCgkFb8cCA/edit#gid=346597447"",""มหาสารคาม!J567"")"),0)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IFERROR(__xludf.DUMMYFUNCTION("IMPORTRANGE(""https://docs.google.com/spreadsheets/d/1XL5vhW3sbDhbH9Cz0tuDiY8C3ctxq1tqvaCgkFb8cCA/edit#gid=346597447"",""มหาสารคาม!J568"")"),0)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IFERROR(__xludf.DUMMYFUNCTION("IMPORTRANGE(""https://docs.google.com/spreadsheets/d/1XL5vhW3sbDhbH9Cz0tuDiY8C3ctxq1tqvaCgkFb8cCA/edit#gid=346597447"",""มหาสารคาม!J569"")"),0)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IFERROR(__xludf.DUMMYFUNCTION("IMPORTRANGE(""https://docs.google.com/spreadsheets/d/1XL5vhW3sbDhbH9Cz0tuDiY8C3ctxq1tqvaCgkFb8cCA/edit#gid=346597447"",""มหาสารคาม!J570"")"),0)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IFERROR(__xludf.DUMMYFUNCTION("IMPORTRANGE(""https://docs.google.com/spreadsheets/d/1XL5vhW3sbDhbH9Cz0tuDiY8C3ctxq1tqvaCgkFb8cCA/edit#gid=346597447"",""มหาสารคาม!J571"")"),0)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IFERROR(__xludf.DUMMYFUNCTION("IMPORTRANGE(""https://docs.google.com/spreadsheets/d/1XL5vhW3sbDhbH9Cz0tuDiY8C3ctxq1tqvaCgkFb8cCA/edit#gid=346597447"",""มหาสารคาม!J572"")"),0)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2022-08-17T03:09:33Z</cp:lastPrinted>
  <dcterms:modified xsi:type="dcterms:W3CDTF">2022-08-17T03:15:54Z</dcterms:modified>
</cp:coreProperties>
</file>